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der\Desktop\"/>
    </mc:Choice>
  </mc:AlternateContent>
  <xr:revisionPtr revIDLastSave="0" documentId="13_ncr:1_{359E4995-249F-4CAE-B7CA-197E092C3722}" xr6:coauthVersionLast="47" xr6:coauthVersionMax="47" xr10:uidLastSave="{00000000-0000-0000-0000-000000000000}"/>
  <bookViews>
    <workbookView xWindow="-120" yWindow="-120" windowWidth="20730" windowHeight="11310" tabRatio="615" xr2:uid="{00000000-000D-0000-FFFF-FFFF00000000}"/>
  </bookViews>
  <sheets>
    <sheet name="Instructivo" sheetId="6" r:id="rId1"/>
    <sheet name="Metas" sheetId="7" r:id="rId2"/>
    <sheet name="Captura Info" sheetId="5" r:id="rId3"/>
    <sheet name="Costos de rotación" sheetId="10" r:id="rId4"/>
    <sheet name="Graficas Proyectadas" sheetId="4" r:id="rId5"/>
    <sheet name="Graficas Mensuales" sheetId="8" r:id="rId6"/>
  </sheets>
  <definedNames>
    <definedName name="_xlnm.Print_Area" localSheetId="0">Instructivo!$A$1:$R$34</definedName>
    <definedName name="_xlnm.Print_Area" localSheetId="1">Metas!$A$1:$E$13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10" l="1"/>
  <c r="N2" i="10"/>
  <c r="M2" i="10"/>
  <c r="L2" i="10"/>
  <c r="K2" i="10"/>
  <c r="J2" i="10"/>
  <c r="I2" i="10"/>
  <c r="H2" i="10"/>
  <c r="G2" i="10"/>
  <c r="F2" i="10"/>
  <c r="E2" i="10"/>
  <c r="D2" i="10"/>
  <c r="C2" i="10"/>
  <c r="N3" i="10"/>
  <c r="M3" i="10"/>
  <c r="L3" i="10"/>
  <c r="K3" i="10"/>
  <c r="J3" i="10"/>
  <c r="I3" i="10"/>
  <c r="H3" i="10"/>
  <c r="G3" i="10"/>
  <c r="F3" i="10"/>
  <c r="E3" i="10"/>
  <c r="D3" i="10"/>
  <c r="C3" i="10"/>
  <c r="G9" i="5"/>
  <c r="I9" i="5"/>
  <c r="H9" i="5"/>
  <c r="O6" i="10"/>
  <c r="O14" i="10"/>
  <c r="O13" i="10"/>
  <c r="O9" i="10"/>
  <c r="O8" i="10"/>
  <c r="O7" i="10"/>
  <c r="N15" i="10"/>
  <c r="N18" i="10" s="1"/>
  <c r="M15" i="10"/>
  <c r="M18" i="10" s="1"/>
  <c r="N10" i="10"/>
  <c r="M10" i="10"/>
  <c r="E15" i="10"/>
  <c r="E18" i="10" s="1"/>
  <c r="F15" i="10"/>
  <c r="F18" i="10" s="1"/>
  <c r="G15" i="10"/>
  <c r="G18" i="10" s="1"/>
  <c r="H15" i="10"/>
  <c r="H18" i="10" s="1"/>
  <c r="I15" i="10"/>
  <c r="I18" i="10" s="1"/>
  <c r="J15" i="10"/>
  <c r="J18" i="10" s="1"/>
  <c r="K15" i="10"/>
  <c r="K18" i="10" s="1"/>
  <c r="L15" i="10"/>
  <c r="L18" i="10" s="1"/>
  <c r="E10" i="10"/>
  <c r="L10" i="10"/>
  <c r="K10" i="10"/>
  <c r="K20" i="10" s="1"/>
  <c r="K21" i="10" s="1"/>
  <c r="J10" i="10"/>
  <c r="I10" i="10"/>
  <c r="I20" i="10" s="1"/>
  <c r="I21" i="10" s="1"/>
  <c r="H10" i="10"/>
  <c r="G10" i="10"/>
  <c r="G20" i="10" s="1"/>
  <c r="G21" i="10" s="1"/>
  <c r="F10" i="10"/>
  <c r="R7" i="5"/>
  <c r="D15" i="10"/>
  <c r="D18" i="10" s="1"/>
  <c r="D10" i="10"/>
  <c r="C15" i="10"/>
  <c r="C18" i="10" s="1"/>
  <c r="C10" i="10"/>
  <c r="O3" i="10" l="1"/>
  <c r="O18" i="10"/>
  <c r="M20" i="10"/>
  <c r="M21" i="10" s="1"/>
  <c r="N20" i="10"/>
  <c r="N21" i="10" s="1"/>
  <c r="O10" i="10"/>
  <c r="D20" i="10"/>
  <c r="D21" i="10" s="1"/>
  <c r="O15" i="10"/>
  <c r="E20" i="10"/>
  <c r="E21" i="10" s="1"/>
  <c r="J20" i="10"/>
  <c r="J21" i="10" s="1"/>
  <c r="F20" i="10"/>
  <c r="F21" i="10" s="1"/>
  <c r="C20" i="10"/>
  <c r="C21" i="10" s="1"/>
  <c r="H20" i="10"/>
  <c r="H21" i="10" s="1"/>
  <c r="L20" i="10"/>
  <c r="L21" i="10" s="1"/>
  <c r="O20" i="10" l="1"/>
  <c r="O21" i="10" s="1"/>
  <c r="H43" i="5" l="1"/>
  <c r="H45" i="5" s="1"/>
  <c r="H46" i="5"/>
  <c r="G43" i="5"/>
  <c r="L43" i="5"/>
  <c r="L44" i="5"/>
  <c r="K44" i="5"/>
  <c r="K43" i="5"/>
  <c r="U44" i="5"/>
  <c r="AF43" i="5"/>
  <c r="AE43" i="5"/>
  <c r="AD43" i="5"/>
  <c r="AC43" i="5"/>
  <c r="AB43" i="5"/>
  <c r="AA43" i="5"/>
  <c r="Z43" i="5"/>
  <c r="Y43" i="5"/>
  <c r="X43" i="5"/>
  <c r="W43" i="5"/>
  <c r="V43" i="5"/>
  <c r="U43" i="5"/>
  <c r="L45" i="5" l="1"/>
  <c r="F44" i="5"/>
  <c r="G8" i="5"/>
  <c r="H44" i="5"/>
  <c r="I44" i="5"/>
  <c r="J44" i="5"/>
  <c r="K45" i="5" s="1"/>
  <c r="M44" i="5"/>
  <c r="N44" i="5"/>
  <c r="O44" i="5"/>
  <c r="P44" i="5"/>
  <c r="Q44" i="5"/>
  <c r="I43" i="5"/>
  <c r="J43" i="5"/>
  <c r="M43" i="5"/>
  <c r="N43" i="5"/>
  <c r="O43" i="5"/>
  <c r="P43" i="5"/>
  <c r="Q43" i="5"/>
  <c r="F43" i="5"/>
  <c r="G45" i="5" l="1"/>
  <c r="O45" i="5"/>
  <c r="N45" i="5"/>
  <c r="P45" i="5"/>
  <c r="J45" i="5"/>
  <c r="I45" i="5"/>
  <c r="Q45" i="5"/>
  <c r="M45" i="5"/>
  <c r="O46" i="5" l="1"/>
  <c r="M46" i="5"/>
  <c r="K46" i="5"/>
  <c r="Q46" i="5"/>
  <c r="P46" i="5"/>
  <c r="L46" i="5"/>
  <c r="J46" i="5"/>
  <c r="I46" i="5"/>
  <c r="N46" i="5"/>
  <c r="AF50" i="5" l="1"/>
  <c r="AB50" i="5"/>
  <c r="X50" i="5"/>
  <c r="U50" i="5"/>
  <c r="V31" i="5"/>
  <c r="V50" i="5" s="1"/>
  <c r="W31" i="5"/>
  <c r="W32" i="5" s="1"/>
  <c r="X31" i="5"/>
  <c r="X32" i="5" s="1"/>
  <c r="Y31" i="5"/>
  <c r="Y32" i="5" s="1"/>
  <c r="Z31" i="5"/>
  <c r="Z50" i="5" s="1"/>
  <c r="AA31" i="5"/>
  <c r="AA32" i="5" s="1"/>
  <c r="AB31" i="5"/>
  <c r="AB32" i="5" s="1"/>
  <c r="AC31" i="5"/>
  <c r="AC32" i="5" s="1"/>
  <c r="AD31" i="5"/>
  <c r="AD32" i="5" s="1"/>
  <c r="AE31" i="5"/>
  <c r="AE32" i="5" s="1"/>
  <c r="AF31" i="5"/>
  <c r="AF32" i="5" s="1"/>
  <c r="Z32" i="5"/>
  <c r="U31" i="5"/>
  <c r="U32" i="5" s="1"/>
  <c r="V12" i="5"/>
  <c r="V13" i="5" s="1"/>
  <c r="W12" i="5"/>
  <c r="W13" i="5" s="1"/>
  <c r="W51" i="5" s="1"/>
  <c r="X12" i="5"/>
  <c r="X13" i="5" s="1"/>
  <c r="Y12" i="5"/>
  <c r="Y13" i="5" s="1"/>
  <c r="Y51" i="5" s="1"/>
  <c r="Z12" i="5"/>
  <c r="Z13" i="5" s="1"/>
  <c r="AA12" i="5"/>
  <c r="AA13" i="5" s="1"/>
  <c r="AA51" i="5" s="1"/>
  <c r="AB12" i="5"/>
  <c r="AB13" i="5" s="1"/>
  <c r="AC12" i="5"/>
  <c r="AC13" i="5" s="1"/>
  <c r="AC51" i="5" s="1"/>
  <c r="AD12" i="5"/>
  <c r="AD13" i="5" s="1"/>
  <c r="AE12" i="5"/>
  <c r="AE13" i="5" s="1"/>
  <c r="AE51" i="5" s="1"/>
  <c r="AF12" i="5"/>
  <c r="AF13" i="5" s="1"/>
  <c r="U12" i="5"/>
  <c r="U13" i="5" s="1"/>
  <c r="G31" i="5"/>
  <c r="G32" i="5" s="1"/>
  <c r="H31" i="5"/>
  <c r="I31" i="5"/>
  <c r="J31" i="5"/>
  <c r="AO31" i="5" s="1"/>
  <c r="K31" i="5"/>
  <c r="K32" i="5" s="1"/>
  <c r="L31" i="5"/>
  <c r="AQ31" i="5" s="1"/>
  <c r="M31" i="5"/>
  <c r="N31" i="5"/>
  <c r="AS31" i="5" s="1"/>
  <c r="O31" i="5"/>
  <c r="P31" i="5"/>
  <c r="Q31" i="5"/>
  <c r="F31" i="5"/>
  <c r="AK31" i="5" s="1"/>
  <c r="G13" i="5"/>
  <c r="AL13" i="5" s="1"/>
  <c r="H13" i="5"/>
  <c r="AM13" i="5" s="1"/>
  <c r="I13" i="5"/>
  <c r="J13" i="5"/>
  <c r="AO13" i="5" s="1"/>
  <c r="K13" i="5"/>
  <c r="AP13" i="5" s="1"/>
  <c r="L13" i="5"/>
  <c r="M13" i="5"/>
  <c r="N13" i="5"/>
  <c r="O13" i="5"/>
  <c r="AT13" i="5" s="1"/>
  <c r="P13" i="5"/>
  <c r="AU13" i="5" s="1"/>
  <c r="Q13" i="5"/>
  <c r="F13" i="5"/>
  <c r="G12" i="5"/>
  <c r="AL12" i="5" s="1"/>
  <c r="H12" i="5"/>
  <c r="AM12" i="5" s="1"/>
  <c r="I12" i="5"/>
  <c r="AN12" i="5" s="1"/>
  <c r="J12" i="5"/>
  <c r="AO12" i="5" s="1"/>
  <c r="K12" i="5"/>
  <c r="AP12" i="5" s="1"/>
  <c r="L12" i="5"/>
  <c r="AQ12" i="5" s="1"/>
  <c r="M12" i="5"/>
  <c r="AR12" i="5" s="1"/>
  <c r="N12" i="5"/>
  <c r="AS12" i="5" s="1"/>
  <c r="O12" i="5"/>
  <c r="AT12" i="5" s="1"/>
  <c r="P12" i="5"/>
  <c r="AU12" i="5" s="1"/>
  <c r="Q12" i="5"/>
  <c r="AV12" i="5" s="1"/>
  <c r="F12" i="5"/>
  <c r="AK12" i="5"/>
  <c r="P50" i="5" l="1"/>
  <c r="H50" i="5"/>
  <c r="O50" i="5"/>
  <c r="Q50" i="5"/>
  <c r="M50" i="5"/>
  <c r="I50" i="5"/>
  <c r="AS13" i="5"/>
  <c r="AP32" i="5"/>
  <c r="AP51" i="5" s="1"/>
  <c r="AD51" i="5"/>
  <c r="Z51" i="5"/>
  <c r="U51" i="5"/>
  <c r="AK13" i="5"/>
  <c r="AS50" i="5"/>
  <c r="AV13" i="5"/>
  <c r="AF51" i="5"/>
  <c r="AL32" i="5"/>
  <c r="AL51" i="5" s="1"/>
  <c r="AK50" i="5"/>
  <c r="AO50" i="5"/>
  <c r="AR13" i="5"/>
  <c r="AB51" i="5"/>
  <c r="X51" i="5"/>
  <c r="AN13" i="5"/>
  <c r="AQ50" i="5"/>
  <c r="L32" i="5"/>
  <c r="AQ32" i="5" s="1"/>
  <c r="L50" i="5"/>
  <c r="AP31" i="5"/>
  <c r="O32" i="5"/>
  <c r="AT32" i="5" s="1"/>
  <c r="AT51" i="5" s="1"/>
  <c r="K50" i="5"/>
  <c r="G50" i="5"/>
  <c r="V32" i="5"/>
  <c r="V51" i="5" s="1"/>
  <c r="Y50" i="5"/>
  <c r="AC50" i="5"/>
  <c r="AQ13" i="5"/>
  <c r="AM31" i="5"/>
  <c r="AU31" i="5"/>
  <c r="P32" i="5"/>
  <c r="AU32" i="5" s="1"/>
  <c r="AU51" i="5" s="1"/>
  <c r="H32" i="5"/>
  <c r="AM32" i="5" s="1"/>
  <c r="AM51" i="5" s="1"/>
  <c r="AL31" i="5"/>
  <c r="F32" i="5"/>
  <c r="AK32" i="5" s="1"/>
  <c r="N32" i="5"/>
  <c r="AS32" i="5" s="1"/>
  <c r="AS51" i="5" s="1"/>
  <c r="J32" i="5"/>
  <c r="AO32" i="5" s="1"/>
  <c r="AO51" i="5" s="1"/>
  <c r="F50" i="5"/>
  <c r="K51" i="5"/>
  <c r="G51" i="5"/>
  <c r="N50" i="5"/>
  <c r="J50" i="5"/>
  <c r="AD50" i="5"/>
  <c r="AN31" i="5"/>
  <c r="AR31" i="5"/>
  <c r="AV31" i="5"/>
  <c r="AT31" i="5"/>
  <c r="Q32" i="5"/>
  <c r="M32" i="5"/>
  <c r="I32" i="5"/>
  <c r="W50" i="5"/>
  <c r="AA50" i="5"/>
  <c r="AE50" i="5"/>
  <c r="F26" i="5"/>
  <c r="F27" i="5" s="1"/>
  <c r="Q26" i="5"/>
  <c r="P26" i="5"/>
  <c r="O26" i="5"/>
  <c r="N26" i="5"/>
  <c r="M26" i="5"/>
  <c r="L26" i="5"/>
  <c r="K26" i="5"/>
  <c r="J26" i="5"/>
  <c r="I26" i="5"/>
  <c r="H26" i="5"/>
  <c r="H27" i="5" s="1"/>
  <c r="G26" i="5"/>
  <c r="H8" i="5"/>
  <c r="G27" i="5" l="1"/>
  <c r="N51" i="5"/>
  <c r="J51" i="5"/>
  <c r="J27" i="5"/>
  <c r="K27" i="5"/>
  <c r="L27" i="5"/>
  <c r="P27" i="5"/>
  <c r="I27" i="5"/>
  <c r="M27" i="5"/>
  <c r="Q27" i="5"/>
  <c r="N27" i="5"/>
  <c r="O27" i="5"/>
  <c r="O51" i="5"/>
  <c r="H51" i="5"/>
  <c r="P51" i="5"/>
  <c r="AN32" i="5"/>
  <c r="AN51" i="5" s="1"/>
  <c r="I51" i="5"/>
  <c r="AV50" i="5"/>
  <c r="AU50" i="5"/>
  <c r="AR32" i="5"/>
  <c r="AR51" i="5" s="1"/>
  <c r="M51" i="5"/>
  <c r="AR50" i="5"/>
  <c r="AL50" i="5"/>
  <c r="AM50" i="5"/>
  <c r="L51" i="5"/>
  <c r="AK51" i="5"/>
  <c r="Q51" i="5"/>
  <c r="AV32" i="5"/>
  <c r="AV51" i="5" s="1"/>
  <c r="AN50" i="5"/>
  <c r="AQ51" i="5"/>
  <c r="AT50" i="5"/>
  <c r="AP50" i="5"/>
  <c r="F51" i="5"/>
  <c r="R26" i="5"/>
  <c r="I8" i="5"/>
  <c r="J8" i="5"/>
  <c r="K8" i="5"/>
  <c r="L8" i="5"/>
  <c r="M8" i="5"/>
  <c r="N8" i="5"/>
  <c r="O8" i="5"/>
  <c r="P8" i="5"/>
  <c r="Q8" i="5"/>
  <c r="O9" i="5" l="1"/>
  <c r="N9" i="5"/>
  <c r="Q9" i="5"/>
  <c r="P9" i="5"/>
  <c r="M9" i="5"/>
  <c r="L9" i="5"/>
  <c r="K9" i="5"/>
  <c r="J9" i="5"/>
  <c r="V23" i="5"/>
  <c r="W23" i="5"/>
  <c r="X23" i="5"/>
  <c r="Y23" i="5"/>
  <c r="Z23" i="5"/>
  <c r="AA23" i="5"/>
  <c r="AB23" i="5"/>
  <c r="AC23" i="5"/>
  <c r="AD23" i="5"/>
  <c r="AE23" i="5"/>
  <c r="AF23" i="5"/>
  <c r="U23" i="5"/>
  <c r="V5" i="5"/>
  <c r="W5" i="5"/>
  <c r="X5" i="5"/>
  <c r="Y5" i="5"/>
  <c r="Z5" i="5"/>
  <c r="AA5" i="5"/>
  <c r="AB5" i="5"/>
  <c r="AC5" i="5"/>
  <c r="AD5" i="5"/>
  <c r="AE5" i="5"/>
  <c r="AF5" i="5"/>
  <c r="U5" i="5"/>
  <c r="F8" i="5"/>
  <c r="F9" i="5" s="1"/>
  <c r="R8" i="5" l="1"/>
  <c r="AV43" i="5" l="1"/>
  <c r="AU43" i="5"/>
  <c r="AT43" i="5"/>
  <c r="AS43" i="5"/>
  <c r="AR43" i="5"/>
  <c r="AQ43" i="5"/>
  <c r="AP43" i="5"/>
  <c r="AO43" i="5"/>
  <c r="AN43" i="5"/>
  <c r="AM43" i="5"/>
  <c r="AL43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L6" i="5"/>
  <c r="AM6" i="5"/>
  <c r="AN6" i="5"/>
  <c r="AO6" i="5"/>
  <c r="AP6" i="5"/>
  <c r="AQ6" i="5"/>
  <c r="AR6" i="5"/>
  <c r="AS6" i="5"/>
  <c r="AT6" i="5"/>
  <c r="AU6" i="5"/>
  <c r="AV6" i="5"/>
  <c r="AK6" i="5"/>
  <c r="C44" i="5"/>
  <c r="F45" i="5" s="1"/>
  <c r="AF44" i="5"/>
  <c r="R6" i="5"/>
  <c r="R24" i="5"/>
  <c r="R25" i="5"/>
  <c r="F46" i="5" l="1"/>
  <c r="G46" i="5"/>
  <c r="U45" i="5"/>
  <c r="U46" i="5" s="1"/>
  <c r="AK43" i="5"/>
  <c r="R2" i="5"/>
  <c r="R27" i="5"/>
  <c r="AC44" i="5"/>
  <c r="Y44" i="5"/>
  <c r="AB44" i="5"/>
  <c r="X44" i="5"/>
  <c r="AE44" i="5"/>
  <c r="AA44" i="5"/>
  <c r="AD44" i="5"/>
  <c r="Z44" i="5"/>
  <c r="W44" i="5"/>
  <c r="R9" i="5"/>
  <c r="AW6" i="5"/>
  <c r="AW24" i="5"/>
  <c r="AV44" i="5"/>
  <c r="AG43" i="5"/>
  <c r="R44" i="5"/>
  <c r="R43" i="5"/>
  <c r="V44" i="5"/>
  <c r="X45" i="5" l="1"/>
  <c r="AD45" i="5"/>
  <c r="AF45" i="5"/>
  <c r="AB45" i="5"/>
  <c r="Z45" i="5"/>
  <c r="AA45" i="5"/>
  <c r="AE45" i="5"/>
  <c r="AC45" i="5"/>
  <c r="Y45" i="5"/>
  <c r="W45" i="5"/>
  <c r="V45" i="5"/>
  <c r="AM44" i="5"/>
  <c r="AU44" i="5"/>
  <c r="R46" i="5"/>
  <c r="AR44" i="5"/>
  <c r="AN44" i="5"/>
  <c r="AP44" i="5"/>
  <c r="AO44" i="5"/>
  <c r="AQ44" i="5"/>
  <c r="AT44" i="5"/>
  <c r="AS44" i="5"/>
  <c r="AL44" i="5"/>
  <c r="R45" i="5"/>
  <c r="AW43" i="5"/>
  <c r="AK44" i="5"/>
  <c r="AK45" i="5" s="1"/>
  <c r="AK46" i="5" s="1"/>
  <c r="AG44" i="5"/>
  <c r="AG46" i="5" s="1"/>
  <c r="W46" i="5" l="1"/>
  <c r="V46" i="5"/>
  <c r="AC46" i="5"/>
  <c r="Z46" i="5"/>
  <c r="AA46" i="5"/>
  <c r="AE46" i="5"/>
  <c r="AB46" i="5"/>
  <c r="Y46" i="5"/>
  <c r="AD46" i="5"/>
  <c r="AN45" i="5"/>
  <c r="AF46" i="5"/>
  <c r="X46" i="5"/>
  <c r="AP45" i="5"/>
  <c r="AU45" i="5"/>
  <c r="AQ45" i="5"/>
  <c r="AT45" i="5"/>
  <c r="AS45" i="5"/>
  <c r="AR45" i="5"/>
  <c r="AV45" i="5"/>
  <c r="AO45" i="5"/>
  <c r="AM45" i="5"/>
  <c r="AL45" i="5"/>
  <c r="AG45" i="5"/>
  <c r="AW44" i="5"/>
  <c r="AW46" i="5" s="1"/>
  <c r="AT46" i="5" l="1"/>
  <c r="AS46" i="5"/>
  <c r="AN46" i="5"/>
  <c r="AR46" i="5"/>
  <c r="AQ46" i="5"/>
  <c r="AO46" i="5"/>
  <c r="AM46" i="5"/>
  <c r="AV46" i="5"/>
  <c r="AL46" i="5"/>
  <c r="AU46" i="5"/>
  <c r="AP46" i="5"/>
  <c r="AW45" i="5"/>
  <c r="AF25" i="5"/>
  <c r="AE25" i="5"/>
  <c r="AD25" i="5"/>
  <c r="AC25" i="5"/>
  <c r="AB25" i="5"/>
  <c r="AA25" i="5"/>
  <c r="Z25" i="5"/>
  <c r="Y25" i="5"/>
  <c r="X25" i="5"/>
  <c r="W25" i="5"/>
  <c r="V25" i="5"/>
  <c r="U25" i="5"/>
  <c r="U26" i="5" s="1"/>
  <c r="U27" i="5" s="1"/>
  <c r="AG24" i="5"/>
  <c r="AF7" i="5"/>
  <c r="AE7" i="5"/>
  <c r="AD7" i="5"/>
  <c r="AC7" i="5"/>
  <c r="AB7" i="5"/>
  <c r="AA7" i="5"/>
  <c r="Z7" i="5"/>
  <c r="Y7" i="5"/>
  <c r="X7" i="5"/>
  <c r="W7" i="5"/>
  <c r="V7" i="5"/>
  <c r="U7" i="5"/>
  <c r="U8" i="5" s="1"/>
  <c r="U9" i="5" s="1"/>
  <c r="AG7" i="5"/>
  <c r="AG6" i="5"/>
  <c r="Y26" i="5" l="1"/>
  <c r="Z26" i="5"/>
  <c r="X26" i="5"/>
  <c r="AB26" i="5"/>
  <c r="AF26" i="5"/>
  <c r="AC26" i="5"/>
  <c r="AD26" i="5"/>
  <c r="AA26" i="5"/>
  <c r="AE26" i="5"/>
  <c r="V26" i="5"/>
  <c r="V27" i="5" s="1"/>
  <c r="W26" i="5"/>
  <c r="AV7" i="5"/>
  <c r="AG9" i="5"/>
  <c r="AN7" i="5"/>
  <c r="Y8" i="5"/>
  <c r="AR7" i="5"/>
  <c r="AC8" i="5"/>
  <c r="Z8" i="5"/>
  <c r="AO7" i="5"/>
  <c r="AS7" i="5"/>
  <c r="AD8" i="5"/>
  <c r="AP7" i="5"/>
  <c r="AA8" i="5"/>
  <c r="AT7" i="5"/>
  <c r="AE8" i="5"/>
  <c r="AB8" i="5"/>
  <c r="AQ7" i="5"/>
  <c r="AF8" i="5"/>
  <c r="AU7" i="5"/>
  <c r="AM7" i="5"/>
  <c r="X8" i="5"/>
  <c r="AK7" i="5"/>
  <c r="AK8" i="5" s="1"/>
  <c r="AK9" i="5" s="1"/>
  <c r="AL7" i="5"/>
  <c r="W8" i="5"/>
  <c r="V8" i="5"/>
  <c r="AT25" i="5"/>
  <c r="AL25" i="5"/>
  <c r="AP25" i="5"/>
  <c r="AM25" i="5"/>
  <c r="AQ25" i="5"/>
  <c r="AU25" i="5"/>
  <c r="AN25" i="5"/>
  <c r="AR25" i="5"/>
  <c r="AV25" i="5"/>
  <c r="AK25" i="5"/>
  <c r="AK26" i="5" s="1"/>
  <c r="AK27" i="5" s="1"/>
  <c r="AO25" i="5"/>
  <c r="AS25" i="5"/>
  <c r="AG25" i="5"/>
  <c r="Y9" i="5" l="1"/>
  <c r="V9" i="5"/>
  <c r="Y27" i="5"/>
  <c r="AC9" i="5"/>
  <c r="AE9" i="5"/>
  <c r="AA9" i="5"/>
  <c r="W27" i="5"/>
  <c r="AE27" i="5"/>
  <c r="AB27" i="5"/>
  <c r="AF27" i="5"/>
  <c r="AA27" i="5"/>
  <c r="AD27" i="5"/>
  <c r="AC27" i="5"/>
  <c r="X27" i="5"/>
  <c r="Z27" i="5"/>
  <c r="AF9" i="5"/>
  <c r="W9" i="5"/>
  <c r="AB9" i="5"/>
  <c r="Z9" i="5"/>
  <c r="X9" i="5"/>
  <c r="AD9" i="5"/>
  <c r="AV26" i="5"/>
  <c r="AN8" i="5"/>
  <c r="AV8" i="5"/>
  <c r="AR26" i="5"/>
  <c r="AQ26" i="5"/>
  <c r="AO26" i="5"/>
  <c r="AT26" i="5"/>
  <c r="AP8" i="5"/>
  <c r="AT8" i="5"/>
  <c r="AU26" i="5"/>
  <c r="AP26" i="5"/>
  <c r="AS26" i="5"/>
  <c r="AN26" i="5"/>
  <c r="AL26" i="5"/>
  <c r="AL27" i="5" s="1"/>
  <c r="AM26" i="5"/>
  <c r="AG27" i="5"/>
  <c r="AG26" i="5"/>
  <c r="AU8" i="5"/>
  <c r="AS8" i="5"/>
  <c r="AR8" i="5"/>
  <c r="AQ8" i="5"/>
  <c r="AO8" i="5"/>
  <c r="AM8" i="5"/>
  <c r="AL8" i="5"/>
  <c r="AL9" i="5" s="1"/>
  <c r="AG8" i="5"/>
  <c r="AW7" i="5"/>
  <c r="AW9" i="5" s="1"/>
  <c r="AW25" i="5"/>
  <c r="AW27" i="5" s="1"/>
  <c r="AP27" i="5" l="1"/>
  <c r="AQ27" i="5"/>
  <c r="AV27" i="5"/>
  <c r="AO27" i="5"/>
  <c r="AM27" i="5"/>
  <c r="AT9" i="5"/>
  <c r="AN9" i="5"/>
  <c r="AR27" i="5"/>
  <c r="AN27" i="5"/>
  <c r="AU27" i="5"/>
  <c r="AS27" i="5"/>
  <c r="AT27" i="5"/>
  <c r="AV9" i="5"/>
  <c r="AS9" i="5"/>
  <c r="AP9" i="5"/>
  <c r="AO9" i="5"/>
  <c r="AU9" i="5"/>
  <c r="AR9" i="5"/>
  <c r="AM9" i="5"/>
  <c r="AQ9" i="5"/>
  <c r="AW26" i="5"/>
  <c r="AW8" i="5"/>
</calcChain>
</file>

<file path=xl/sharedStrings.xml><?xml version="1.0" encoding="utf-8"?>
<sst xmlns="http://schemas.openxmlformats.org/spreadsheetml/2006/main" count="132" uniqueCount="73">
  <si>
    <t>Bajas</t>
  </si>
  <si>
    <t>Plantilla</t>
  </si>
  <si>
    <t>ANUAL</t>
  </si>
  <si>
    <t>Voluntaria</t>
  </si>
  <si>
    <t>Involuntaria</t>
  </si>
  <si>
    <t>VOLUNTARY HOURLY</t>
  </si>
  <si>
    <t>INVOLUNTARY HOURLY</t>
  </si>
  <si>
    <t>VOLUNTARY SALARY</t>
  </si>
  <si>
    <t>INVOLUNTARY SALARY</t>
  </si>
  <si>
    <t>FY anterior</t>
  </si>
  <si>
    <t>VOLUNTARY TOTAL</t>
  </si>
  <si>
    <t>INVOLUNTARY TOTAL</t>
  </si>
  <si>
    <t>ROTACION TOTAL</t>
  </si>
  <si>
    <t>ROTACION HOURLY TOTAL</t>
  </si>
  <si>
    <t>ROTACION SALARY TOTAL</t>
  </si>
  <si>
    <t>Mes</t>
  </si>
  <si>
    <t>Meta</t>
  </si>
  <si>
    <t>Hourly</t>
  </si>
  <si>
    <t>Salary</t>
  </si>
  <si>
    <t>Meta Anual</t>
  </si>
  <si>
    <t>Meta Mensual</t>
  </si>
  <si>
    <t>Modo de uso:</t>
  </si>
  <si>
    <t>1.-</t>
  </si>
  <si>
    <t>2.-</t>
  </si>
  <si>
    <t>3.-</t>
  </si>
  <si>
    <t>4.-</t>
  </si>
  <si>
    <t>5.-</t>
  </si>
  <si>
    <t>6.-</t>
  </si>
  <si>
    <r>
      <t xml:space="preserve">En el Tab de </t>
    </r>
    <r>
      <rPr>
        <sz val="11"/>
        <color rgb="FF7030A0"/>
        <rFont val="Calibri"/>
        <family val="2"/>
        <scheme val="minor"/>
      </rPr>
      <t>"Captura Info"</t>
    </r>
    <r>
      <rPr>
        <sz val="11"/>
        <color rgb="FF000000"/>
        <rFont val="Calibri"/>
        <family val="2"/>
        <scheme val="minor"/>
      </rPr>
      <t>: Actualizar la información de la plantilla (HyS) al cierre del mes en el recuadro de rotación voluntaria (esto actualizara el dato en resto de las tablas)</t>
    </r>
  </si>
  <si>
    <r>
      <t xml:space="preserve">En el Tab de </t>
    </r>
    <r>
      <rPr>
        <sz val="11"/>
        <color rgb="FF7030A0"/>
        <rFont val="Calibri"/>
        <family val="2"/>
        <scheme val="minor"/>
      </rPr>
      <t>"Captura Info"</t>
    </r>
    <r>
      <rPr>
        <sz val="11"/>
        <color rgb="FF000000"/>
        <rFont val="Calibri"/>
        <family val="2"/>
        <scheme val="minor"/>
      </rPr>
      <t>: Actualizar la información de las bajas voluntarias e involuntarias</t>
    </r>
  </si>
  <si>
    <r>
      <t>En el Tab de</t>
    </r>
    <r>
      <rPr>
        <sz val="11"/>
        <color rgb="FF7030A0"/>
        <rFont val="Calibri"/>
        <family val="2"/>
        <scheme val="minor"/>
      </rPr>
      <t xml:space="preserve"> "Graficas Proyectadas" y "Graficas Mensuales"</t>
    </r>
    <r>
      <rPr>
        <sz val="11"/>
        <color rgb="FF000000"/>
        <rFont val="Calibri"/>
        <family val="2"/>
        <scheme val="minor"/>
      </rPr>
      <t xml:space="preserve"> se podrá obtener los datos graficados y divididos en subcategorías para facilitar el análisis</t>
    </r>
  </si>
  <si>
    <t xml:space="preserve">META DE ROTACIÓN ANUAL </t>
  </si>
  <si>
    <t>Rotación Mensual</t>
  </si>
  <si>
    <t>Rotación Anual</t>
  </si>
  <si>
    <t>Rot Mens Hourly</t>
  </si>
  <si>
    <t>Rot Anual Hourly</t>
  </si>
  <si>
    <t>Rot Mens Salary</t>
  </si>
  <si>
    <t>Rot Anual Salary</t>
  </si>
  <si>
    <r>
      <t xml:space="preserve">En el Tab de </t>
    </r>
    <r>
      <rPr>
        <sz val="11"/>
        <color rgb="FF7030A0"/>
        <rFont val="Calibri"/>
        <family val="2"/>
        <scheme val="minor"/>
      </rPr>
      <t>"Captura Info"</t>
    </r>
    <r>
      <rPr>
        <sz val="11"/>
        <color rgb="FF000000"/>
        <rFont val="Calibri"/>
        <family val="2"/>
        <scheme val="minor"/>
      </rPr>
      <t>: Actualizar el HC del último mes del FY anterior (Salary y _Hourly)</t>
    </r>
  </si>
  <si>
    <t>META DE ROTACIÓN FY22</t>
  </si>
  <si>
    <r>
      <t>En el Tab de</t>
    </r>
    <r>
      <rPr>
        <sz val="11"/>
        <color rgb="FF7030A0"/>
        <rFont val="Calibri"/>
        <family val="2"/>
        <scheme val="minor"/>
      </rPr>
      <t xml:space="preserve"> "Detalle de Bajas"</t>
    </r>
    <r>
      <rPr>
        <sz val="11"/>
        <color rgb="FF000000"/>
        <rFont val="Calibri"/>
        <family val="2"/>
        <scheme val="minor"/>
      </rPr>
      <t xml:space="preserve">: Actualizar la información del detalle con la información obtenida en el reporte de Workday </t>
    </r>
  </si>
  <si>
    <r>
      <t xml:space="preserve">En el Tab de </t>
    </r>
    <r>
      <rPr>
        <sz val="11"/>
        <color rgb="FF7030A0"/>
        <rFont val="Calibri"/>
        <family val="2"/>
        <scheme val="minor"/>
      </rPr>
      <t>"Metas"</t>
    </r>
    <r>
      <rPr>
        <sz val="11"/>
        <color rgb="FF000000"/>
        <rFont val="Calibri"/>
        <family val="2"/>
        <scheme val="minor"/>
      </rPr>
      <t xml:space="preserve">: Establecer y capturar metas de Rotación (invol y vol) proporcionadas por la dirección de RH </t>
    </r>
  </si>
  <si>
    <t>Costo de reclutamiento y selección:</t>
  </si>
  <si>
    <t>Costo por concepto de ingreso:</t>
  </si>
  <si>
    <t>Costo por procesos legales:</t>
  </si>
  <si>
    <t>Costos visibles</t>
  </si>
  <si>
    <t>Costo por mudanza:</t>
  </si>
  <si>
    <t>oct-21</t>
  </si>
  <si>
    <t>nov-21</t>
  </si>
  <si>
    <t>-</t>
  </si>
  <si>
    <t>Costo del equipo de reclutamiento y selección al mes:</t>
  </si>
  <si>
    <t>Costo del equipo de capacitación e inducción :</t>
  </si>
  <si>
    <t>Costo del tiempo en recuperar la vacante (5% del salario):</t>
  </si>
  <si>
    <t>Concepto / mes</t>
  </si>
  <si>
    <t>dic-21</t>
  </si>
  <si>
    <t>ene-22</t>
  </si>
  <si>
    <t>feb-22</t>
  </si>
  <si>
    <t>mar-22</t>
  </si>
  <si>
    <t>abr-22</t>
  </si>
  <si>
    <t>may-22</t>
  </si>
  <si>
    <t>jun-22</t>
  </si>
  <si>
    <t>jul-22</t>
  </si>
  <si>
    <t>Costo total del mes por procesos de contratación y liquidación</t>
  </si>
  <si>
    <t>ago-22</t>
  </si>
  <si>
    <t>sep-22</t>
  </si>
  <si>
    <t>COSTOS MES</t>
  </si>
  <si>
    <t>Contrataciones para compensar las bajas:</t>
  </si>
  <si>
    <t>Total de costos visibles al mes</t>
  </si>
  <si>
    <t>Costo total DE LOS DEPARTAMENTOS que participan en el proceso</t>
  </si>
  <si>
    <t>Total de lo que se gastó en el mes por el proceso</t>
  </si>
  <si>
    <t>Costos no visibles</t>
  </si>
  <si>
    <t>Bajas (no incluye jubilaciones ni defunciones):</t>
  </si>
  <si>
    <t>Costo de rotación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</si>
</sst>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%"/>
    <numFmt numFmtId="165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595959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5" fillId="0" borderId="0"/>
    <xf numFmtId="44" fontId="1" fillId="0" borderId="0" applyFont="0" applyFill="0" applyBorder="0" applyAlignment="0" applyProtection="0"/>
  </cellStyleXfs>
  <cellXfs count="241">
    <xf numFmtId="0" fontId="0" fillId="0" borderId="0" xfId="0"/>
    <xf numFmtId="0" fontId="7" fillId="2" borderId="14" xfId="0" applyFont="1" applyFill="1" applyBorder="1" applyAlignment="1" applyProtection="1">
      <alignment horizontal="center"/>
    </xf>
    <xf numFmtId="0" fontId="5" fillId="0" borderId="2" xfId="0" applyFont="1" applyFill="1" applyBorder="1" applyProtection="1"/>
    <xf numFmtId="0" fontId="5" fillId="0" borderId="1" xfId="0" applyFont="1" applyFill="1" applyBorder="1" applyProtection="1"/>
    <xf numFmtId="0" fontId="5" fillId="0" borderId="0" xfId="0" applyFont="1" applyFill="1" applyBorder="1" applyProtection="1"/>
    <xf numFmtId="0" fontId="5" fillId="2" borderId="11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Fill="1" applyProtection="1"/>
    <xf numFmtId="0" fontId="5" fillId="0" borderId="20" xfId="0" applyFont="1" applyBorder="1" applyProtection="1"/>
    <xf numFmtId="0" fontId="5" fillId="0" borderId="21" xfId="0" applyFont="1" applyBorder="1" applyProtection="1"/>
    <xf numFmtId="17" fontId="7" fillId="0" borderId="19" xfId="0" applyNumberFormat="1" applyFont="1" applyBorder="1" applyProtection="1"/>
    <xf numFmtId="17" fontId="7" fillId="0" borderId="13" xfId="0" applyNumberFormat="1" applyFont="1" applyBorder="1" applyProtection="1"/>
    <xf numFmtId="0" fontId="7" fillId="0" borderId="12" xfId="0" applyFont="1" applyBorder="1" applyProtection="1"/>
    <xf numFmtId="0" fontId="7" fillId="0" borderId="18" xfId="0" applyFont="1" applyBorder="1" applyProtection="1"/>
    <xf numFmtId="0" fontId="7" fillId="0" borderId="4" xfId="0" applyFont="1" applyBorder="1" applyProtection="1"/>
    <xf numFmtId="17" fontId="7" fillId="0" borderId="15" xfId="0" applyNumberFormat="1" applyFont="1" applyBorder="1" applyProtection="1"/>
    <xf numFmtId="0" fontId="7" fillId="2" borderId="23" xfId="0" applyFont="1" applyFill="1" applyBorder="1" applyAlignment="1" applyProtection="1">
      <alignment horizontal="center"/>
    </xf>
    <xf numFmtId="17" fontId="7" fillId="0" borderId="9" xfId="0" applyNumberFormat="1" applyFont="1" applyBorder="1" applyProtection="1"/>
    <xf numFmtId="17" fontId="7" fillId="0" borderId="10" xfId="0" applyNumberFormat="1" applyFont="1" applyBorder="1" applyProtection="1"/>
    <xf numFmtId="17" fontId="7" fillId="0" borderId="11" xfId="0" applyNumberFormat="1" applyFont="1" applyBorder="1" applyProtection="1"/>
    <xf numFmtId="0" fontId="7" fillId="2" borderId="11" xfId="0" applyFont="1" applyFill="1" applyBorder="1" applyAlignment="1" applyProtection="1">
      <alignment horizontal="center"/>
    </xf>
    <xf numFmtId="0" fontId="5" fillId="7" borderId="20" xfId="0" applyFont="1" applyFill="1" applyBorder="1" applyProtection="1">
      <protection locked="0"/>
    </xf>
    <xf numFmtId="0" fontId="5" fillId="7" borderId="21" xfId="0" applyFont="1" applyFill="1" applyBorder="1" applyProtection="1">
      <protection locked="0"/>
    </xf>
    <xf numFmtId="0" fontId="5" fillId="7" borderId="16" xfId="0" applyFont="1" applyFill="1" applyBorder="1" applyProtection="1">
      <protection locked="0"/>
    </xf>
    <xf numFmtId="0" fontId="7" fillId="2" borderId="2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5" fillId="7" borderId="20" xfId="0" applyFont="1" applyFill="1" applyBorder="1" applyAlignment="1" applyProtection="1">
      <protection locked="0"/>
    </xf>
    <xf numFmtId="0" fontId="5" fillId="7" borderId="21" xfId="0" applyFont="1" applyFill="1" applyBorder="1" applyAlignment="1" applyProtection="1">
      <protection locked="0"/>
    </xf>
    <xf numFmtId="0" fontId="5" fillId="7" borderId="2" xfId="0" applyFont="1" applyFill="1" applyBorder="1" applyAlignment="1" applyProtection="1">
      <protection locked="0"/>
    </xf>
    <xf numFmtId="0" fontId="5" fillId="7" borderId="1" xfId="0" applyFont="1" applyFill="1" applyBorder="1" applyAlignment="1" applyProtection="1">
      <protection locked="0"/>
    </xf>
    <xf numFmtId="0" fontId="5" fillId="0" borderId="0" xfId="0" applyFont="1" applyAlignment="1" applyProtection="1"/>
    <xf numFmtId="0" fontId="5" fillId="0" borderId="0" xfId="0" applyFont="1" applyFill="1" applyAlignment="1" applyProtection="1"/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0" borderId="24" xfId="0" applyFont="1" applyBorder="1" applyProtection="1"/>
    <xf numFmtId="0" fontId="5" fillId="7" borderId="15" xfId="0" applyFont="1" applyFill="1" applyBorder="1" applyProtection="1">
      <protection locked="0"/>
    </xf>
    <xf numFmtId="0" fontId="2" fillId="0" borderId="0" xfId="0" applyFont="1" applyFill="1" applyBorder="1" applyProtection="1"/>
    <xf numFmtId="0" fontId="0" fillId="10" borderId="0" xfId="0" applyNumberFormat="1" applyFill="1" applyProtection="1"/>
    <xf numFmtId="0" fontId="0" fillId="0" borderId="0" xfId="0" applyNumberFormat="1" applyProtection="1"/>
    <xf numFmtId="0" fontId="5" fillId="0" borderId="28" xfId="0" applyNumberFormat="1" applyFont="1" applyBorder="1" applyProtection="1"/>
    <xf numFmtId="0" fontId="0" fillId="10" borderId="0" xfId="1" applyNumberFormat="1" applyFont="1" applyFill="1" applyProtection="1"/>
    <xf numFmtId="0" fontId="5" fillId="10" borderId="0" xfId="0" applyNumberFormat="1" applyFont="1" applyFill="1" applyProtection="1"/>
    <xf numFmtId="0" fontId="5" fillId="6" borderId="27" xfId="0" applyNumberFormat="1" applyFont="1" applyFill="1" applyBorder="1" applyProtection="1"/>
    <xf numFmtId="0" fontId="7" fillId="6" borderId="30" xfId="0" applyNumberFormat="1" applyFont="1" applyFill="1" applyBorder="1" applyAlignment="1" applyProtection="1">
      <alignment horizontal="center"/>
    </xf>
    <xf numFmtId="0" fontId="7" fillId="6" borderId="31" xfId="0" applyNumberFormat="1" applyFont="1" applyFill="1" applyBorder="1" applyAlignment="1" applyProtection="1">
      <alignment horizontal="center"/>
    </xf>
    <xf numFmtId="0" fontId="5" fillId="0" borderId="12" xfId="0" applyNumberFormat="1" applyFont="1" applyBorder="1" applyProtection="1"/>
    <xf numFmtId="0" fontId="9" fillId="0" borderId="0" xfId="0" applyFont="1" applyProtection="1"/>
    <xf numFmtId="0" fontId="9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4" fillId="8" borderId="7" xfId="0" applyFont="1" applyFill="1" applyBorder="1" applyAlignment="1" applyProtection="1">
      <alignment vertical="center"/>
    </xf>
    <xf numFmtId="0" fontId="8" fillId="6" borderId="7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vertical="center"/>
    </xf>
    <xf numFmtId="0" fontId="0" fillId="0" borderId="0" xfId="0" applyProtection="1"/>
    <xf numFmtId="165" fontId="0" fillId="0" borderId="0" xfId="0" applyNumberFormat="1" applyBorder="1" applyProtection="1"/>
    <xf numFmtId="164" fontId="0" fillId="0" borderId="0" xfId="1" applyNumberFormat="1" applyFont="1" applyBorder="1" applyProtection="1"/>
    <xf numFmtId="0" fontId="11" fillId="0" borderId="0" xfId="0" applyFont="1" applyAlignment="1" applyProtection="1">
      <alignment horizontal="center" vertical="center" readingOrder="1"/>
    </xf>
    <xf numFmtId="0" fontId="12" fillId="0" borderId="0" xfId="0" applyFont="1"/>
    <xf numFmtId="14" fontId="10" fillId="2" borderId="0" xfId="0" applyNumberFormat="1" applyFont="1" applyFill="1"/>
    <xf numFmtId="0" fontId="0" fillId="10" borderId="0" xfId="0" applyFill="1"/>
    <xf numFmtId="0" fontId="12" fillId="10" borderId="0" xfId="0" applyFont="1" applyFill="1"/>
    <xf numFmtId="0" fontId="13" fillId="10" borderId="0" xfId="0" applyFont="1" applyFill="1"/>
    <xf numFmtId="0" fontId="10" fillId="10" borderId="0" xfId="0" applyFont="1" applyFill="1"/>
    <xf numFmtId="0" fontId="0" fillId="10" borderId="0" xfId="0" applyFont="1" applyFill="1"/>
    <xf numFmtId="0" fontId="10" fillId="2" borderId="0" xfId="0" applyFont="1" applyFill="1"/>
    <xf numFmtId="0" fontId="0" fillId="2" borderId="0" xfId="0" applyFill="1"/>
    <xf numFmtId="0" fontId="16" fillId="0" borderId="0" xfId="0" applyFont="1"/>
    <xf numFmtId="0" fontId="17" fillId="0" borderId="0" xfId="0" applyFont="1"/>
    <xf numFmtId="0" fontId="17" fillId="1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35" xfId="0" applyBorder="1" applyProtection="1"/>
    <xf numFmtId="0" fontId="0" fillId="0" borderId="0" xfId="0" applyBorder="1" applyProtection="1"/>
    <xf numFmtId="0" fontId="0" fillId="0" borderId="36" xfId="0" applyBorder="1" applyProtection="1"/>
    <xf numFmtId="164" fontId="0" fillId="0" borderId="36" xfId="1" applyNumberFormat="1" applyFont="1" applyBorder="1" applyProtection="1"/>
    <xf numFmtId="0" fontId="0" fillId="0" borderId="28" xfId="0" applyBorder="1" applyProtection="1"/>
    <xf numFmtId="0" fontId="0" fillId="0" borderId="8" xfId="0" applyBorder="1" applyProtection="1"/>
    <xf numFmtId="0" fontId="0" fillId="0" borderId="29" xfId="0" applyBorder="1" applyProtection="1"/>
    <xf numFmtId="10" fontId="5" fillId="7" borderId="32" xfId="1" applyNumberFormat="1" applyFont="1" applyFill="1" applyBorder="1" applyAlignment="1" applyProtection="1">
      <alignment horizontal="center"/>
      <protection locked="0"/>
    </xf>
    <xf numFmtId="10" fontId="5" fillId="7" borderId="33" xfId="1" applyNumberFormat="1" applyFont="1" applyFill="1" applyBorder="1" applyAlignment="1" applyProtection="1">
      <alignment horizontal="center"/>
      <protection locked="0"/>
    </xf>
    <xf numFmtId="10" fontId="5" fillId="7" borderId="8" xfId="1" applyNumberFormat="1" applyFont="1" applyFill="1" applyBorder="1" applyAlignment="1" applyProtection="1">
      <alignment horizontal="center"/>
      <protection locked="0"/>
    </xf>
    <xf numFmtId="10" fontId="5" fillId="7" borderId="29" xfId="1" applyNumberFormat="1" applyFont="1" applyFill="1" applyBorder="1" applyAlignment="1" applyProtection="1">
      <alignment horizontal="center"/>
      <protection locked="0"/>
    </xf>
    <xf numFmtId="0" fontId="5" fillId="7" borderId="16" xfId="0" applyFont="1" applyFill="1" applyBorder="1" applyAlignment="1" applyProtection="1">
      <protection locked="0"/>
    </xf>
    <xf numFmtId="164" fontId="7" fillId="2" borderId="29" xfId="1" applyNumberFormat="1" applyFont="1" applyFill="1" applyBorder="1" applyAlignment="1" applyProtection="1">
      <alignment horizontal="center"/>
    </xf>
    <xf numFmtId="0" fontId="7" fillId="2" borderId="37" xfId="0" applyFont="1" applyFill="1" applyBorder="1" applyAlignment="1" applyProtection="1">
      <alignment horizontal="center"/>
    </xf>
    <xf numFmtId="0" fontId="7" fillId="0" borderId="39" xfId="0" applyFont="1" applyBorder="1" applyProtection="1"/>
    <xf numFmtId="0" fontId="7" fillId="0" borderId="40" xfId="0" applyFont="1" applyBorder="1" applyProtection="1"/>
    <xf numFmtId="10" fontId="5" fillId="0" borderId="1" xfId="1" applyNumberFormat="1" applyFont="1" applyFill="1" applyBorder="1" applyAlignment="1" applyProtection="1"/>
    <xf numFmtId="10" fontId="5" fillId="0" borderId="38" xfId="1" applyNumberFormat="1" applyFont="1" applyFill="1" applyBorder="1" applyAlignment="1" applyProtection="1"/>
    <xf numFmtId="0" fontId="23" fillId="4" borderId="0" xfId="0" applyFont="1" applyFill="1" applyBorder="1" applyProtection="1"/>
    <xf numFmtId="1" fontId="9" fillId="3" borderId="0" xfId="1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1" fontId="9" fillId="3" borderId="0" xfId="1" applyNumberFormat="1" applyFont="1" applyFill="1" applyBorder="1" applyProtection="1"/>
    <xf numFmtId="0" fontId="9" fillId="0" borderId="24" xfId="0" applyFont="1" applyBorder="1" applyProtection="1"/>
    <xf numFmtId="0" fontId="9" fillId="4" borderId="0" xfId="0" applyFont="1" applyFill="1" applyBorder="1" applyProtection="1"/>
    <xf numFmtId="0" fontId="9" fillId="10" borderId="0" xfId="0" applyFont="1" applyFill="1"/>
    <xf numFmtId="10" fontId="9" fillId="10" borderId="0" xfId="1" applyNumberFormat="1" applyFont="1" applyFill="1" applyProtection="1"/>
    <xf numFmtId="164" fontId="9" fillId="10" borderId="0" xfId="1" applyNumberFormat="1" applyFont="1" applyFill="1" applyBorder="1" applyAlignment="1" applyProtection="1"/>
    <xf numFmtId="164" fontId="9" fillId="10" borderId="0" xfId="0" applyNumberFormat="1" applyFont="1" applyFill="1" applyAlignment="1">
      <alignment horizontal="center"/>
    </xf>
    <xf numFmtId="0" fontId="9" fillId="10" borderId="24" xfId="0" applyFont="1" applyFill="1" applyBorder="1"/>
    <xf numFmtId="165" fontId="9" fillId="10" borderId="0" xfId="0" applyNumberFormat="1" applyFont="1" applyFill="1"/>
    <xf numFmtId="0" fontId="9" fillId="10" borderId="0" xfId="0" applyFont="1" applyFill="1" applyProtection="1"/>
    <xf numFmtId="165" fontId="9" fillId="10" borderId="0" xfId="0" applyNumberFormat="1" applyFont="1" applyFill="1" applyBorder="1" applyProtection="1"/>
    <xf numFmtId="164" fontId="9" fillId="10" borderId="0" xfId="0" applyNumberFormat="1" applyFont="1" applyFill="1" applyBorder="1" applyAlignment="1" applyProtection="1">
      <alignment horizontal="center"/>
    </xf>
    <xf numFmtId="0" fontId="9" fillId="10" borderId="24" xfId="0" applyFont="1" applyFill="1" applyBorder="1" applyProtection="1"/>
    <xf numFmtId="165" fontId="9" fillId="0" borderId="0" xfId="0" applyNumberFormat="1" applyFont="1" applyFill="1" applyBorder="1" applyProtection="1"/>
    <xf numFmtId="165" fontId="9" fillId="0" borderId="0" xfId="0" applyNumberFormat="1" applyFont="1" applyBorder="1" applyProtection="1"/>
    <xf numFmtId="164" fontId="9" fillId="3" borderId="0" xfId="1" applyNumberFormat="1" applyFont="1" applyFill="1" applyBorder="1" applyProtection="1"/>
    <xf numFmtId="164" fontId="9" fillId="3" borderId="0" xfId="1" applyNumberFormat="1" applyFont="1" applyFill="1" applyBorder="1" applyAlignment="1" applyProtection="1"/>
    <xf numFmtId="165" fontId="9" fillId="4" borderId="0" xfId="0" applyNumberFormat="1" applyFont="1" applyFill="1" applyBorder="1" applyProtection="1"/>
    <xf numFmtId="0" fontId="9" fillId="3" borderId="0" xfId="1" applyNumberFormat="1" applyFont="1" applyFill="1" applyBorder="1" applyAlignment="1" applyProtection="1"/>
    <xf numFmtId="0" fontId="9" fillId="3" borderId="0" xfId="1" applyNumberFormat="1" applyFont="1" applyFill="1" applyBorder="1" applyProtection="1"/>
    <xf numFmtId="10" fontId="9" fillId="3" borderId="0" xfId="1" applyNumberFormat="1" applyFont="1" applyFill="1" applyBorder="1" applyAlignment="1" applyProtection="1"/>
    <xf numFmtId="164" fontId="9" fillId="0" borderId="0" xfId="0" applyNumberFormat="1" applyFont="1" applyFill="1" applyBorder="1" applyProtection="1"/>
    <xf numFmtId="9" fontId="9" fillId="0" borderId="0" xfId="1" applyFont="1" applyFill="1" applyBorder="1" applyProtection="1"/>
    <xf numFmtId="0" fontId="23" fillId="0" borderId="40" xfId="0" applyFont="1" applyBorder="1" applyProtection="1"/>
    <xf numFmtId="164" fontId="23" fillId="2" borderId="29" xfId="1" applyNumberFormat="1" applyFont="1" applyFill="1" applyBorder="1" applyAlignment="1" applyProtection="1">
      <alignment horizontal="center"/>
    </xf>
    <xf numFmtId="0" fontId="9" fillId="0" borderId="0" xfId="0" applyFont="1" applyAlignment="1" applyProtection="1"/>
    <xf numFmtId="0" fontId="9" fillId="0" borderId="0" xfId="0" applyFont="1" applyBorder="1" applyProtection="1"/>
    <xf numFmtId="164" fontId="9" fillId="0" borderId="0" xfId="1" applyNumberFormat="1" applyFont="1" applyBorder="1" applyAlignment="1" applyProtection="1"/>
    <xf numFmtId="164" fontId="9" fillId="0" borderId="0" xfId="1" applyNumberFormat="1" applyFont="1" applyFill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26" xfId="0" applyFont="1" applyBorder="1" applyProtection="1"/>
    <xf numFmtId="0" fontId="9" fillId="0" borderId="26" xfId="0" applyFont="1" applyBorder="1" applyAlignment="1" applyProtection="1"/>
    <xf numFmtId="0" fontId="9" fillId="0" borderId="26" xfId="0" applyFont="1" applyFill="1" applyBorder="1" applyAlignment="1" applyProtection="1"/>
    <xf numFmtId="0" fontId="9" fillId="0" borderId="26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5" xfId="0" applyFont="1" applyBorder="1" applyProtection="1"/>
    <xf numFmtId="0" fontId="9" fillId="0" borderId="26" xfId="0" applyFont="1" applyBorder="1" applyAlignment="1" applyProtection="1">
      <alignment horizontal="center"/>
    </xf>
    <xf numFmtId="0" fontId="9" fillId="10" borderId="0" xfId="0" applyFont="1" applyFill="1" applyBorder="1" applyProtection="1"/>
    <xf numFmtId="164" fontId="9" fillId="0" borderId="0" xfId="1" applyNumberFormat="1" applyFont="1" applyBorder="1" applyProtection="1"/>
    <xf numFmtId="164" fontId="9" fillId="0" borderId="0" xfId="1" applyNumberFormat="1" applyFont="1" applyFill="1" applyBorder="1" applyProtection="1"/>
    <xf numFmtId="17" fontId="23" fillId="0" borderId="0" xfId="0" applyNumberFormat="1" applyFont="1" applyFill="1" applyBorder="1" applyProtection="1"/>
    <xf numFmtId="0" fontId="23" fillId="0" borderId="0" xfId="0" applyFont="1" applyFill="1" applyBorder="1" applyProtection="1"/>
    <xf numFmtId="0" fontId="9" fillId="0" borderId="0" xfId="0" applyFont="1" applyFill="1" applyBorder="1" applyAlignment="1" applyProtection="1"/>
    <xf numFmtId="165" fontId="23" fillId="0" borderId="0" xfId="0" applyNumberFormat="1" applyFont="1" applyFill="1" applyBorder="1" applyProtection="1"/>
    <xf numFmtId="0" fontId="19" fillId="0" borderId="0" xfId="0" applyFont="1" applyFill="1" applyProtection="1"/>
    <xf numFmtId="164" fontId="19" fillId="0" borderId="0" xfId="0" applyNumberFormat="1" applyFont="1" applyFill="1" applyProtection="1"/>
    <xf numFmtId="0" fontId="23" fillId="0" borderId="0" xfId="0" applyFont="1" applyFill="1" applyBorder="1" applyAlignment="1" applyProtection="1">
      <alignment horizontal="center"/>
    </xf>
    <xf numFmtId="0" fontId="24" fillId="10" borderId="0" xfId="0" applyFont="1" applyFill="1"/>
    <xf numFmtId="10" fontId="24" fillId="10" borderId="0" xfId="1" applyNumberFormat="1" applyFont="1" applyFill="1" applyProtection="1"/>
    <xf numFmtId="165" fontId="6" fillId="10" borderId="0" xfId="0" applyNumberFormat="1" applyFont="1" applyFill="1"/>
    <xf numFmtId="164" fontId="24" fillId="10" borderId="0" xfId="1" applyNumberFormat="1" applyFont="1" applyFill="1" applyBorder="1" applyAlignment="1" applyProtection="1"/>
    <xf numFmtId="164" fontId="24" fillId="10" borderId="0" xfId="0" applyNumberFormat="1" applyFont="1" applyFill="1" applyAlignment="1">
      <alignment horizontal="center"/>
    </xf>
    <xf numFmtId="164" fontId="24" fillId="10" borderId="0" xfId="1" applyNumberFormat="1" applyFont="1" applyFill="1" applyBorder="1" applyProtection="1"/>
    <xf numFmtId="0" fontId="24" fillId="10" borderId="24" xfId="0" applyFont="1" applyFill="1" applyBorder="1"/>
    <xf numFmtId="0" fontId="24" fillId="10" borderId="0" xfId="0" applyFont="1" applyFill="1" applyProtection="1"/>
    <xf numFmtId="164" fontId="24" fillId="10" borderId="0" xfId="0" applyNumberFormat="1" applyFont="1" applyFill="1" applyBorder="1" applyAlignment="1" applyProtection="1">
      <alignment horizontal="center"/>
    </xf>
    <xf numFmtId="0" fontId="24" fillId="10" borderId="24" xfId="0" applyFont="1" applyFill="1" applyBorder="1" applyProtection="1"/>
    <xf numFmtId="165" fontId="24" fillId="10" borderId="0" xfId="0" applyNumberFormat="1" applyFont="1" applyFill="1"/>
    <xf numFmtId="0" fontId="24" fillId="10" borderId="0" xfId="0" applyFont="1" applyFill="1" applyBorder="1" applyProtection="1"/>
    <xf numFmtId="0" fontId="5" fillId="7" borderId="15" xfId="0" applyFont="1" applyFill="1" applyBorder="1" applyAlignment="1" applyProtection="1">
      <protection locked="0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14" xfId="1" applyNumberFormat="1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/>
    <xf numFmtId="0" fontId="7" fillId="6" borderId="7" xfId="0" applyFont="1" applyFill="1" applyBorder="1" applyAlignment="1" applyProtection="1"/>
    <xf numFmtId="0" fontId="6" fillId="8" borderId="7" xfId="0" applyFont="1" applyFill="1" applyBorder="1" applyAlignment="1" applyProtection="1"/>
    <xf numFmtId="0" fontId="7" fillId="0" borderId="8" xfId="0" applyFont="1" applyBorder="1" applyAlignment="1" applyProtection="1"/>
    <xf numFmtId="0" fontId="7" fillId="0" borderId="27" xfId="0" applyFont="1" applyBorder="1" applyAlignment="1" applyProtection="1"/>
    <xf numFmtId="0" fontId="7" fillId="0" borderId="27" xfId="0" applyFont="1" applyBorder="1" applyProtection="1"/>
    <xf numFmtId="0" fontId="5" fillId="7" borderId="31" xfId="0" applyFont="1" applyFill="1" applyBorder="1" applyProtection="1">
      <protection locked="0"/>
    </xf>
    <xf numFmtId="0" fontId="24" fillId="0" borderId="0" xfId="0" applyFont="1" applyProtection="1"/>
    <xf numFmtId="0" fontId="24" fillId="0" borderId="0" xfId="0" applyFont="1" applyFill="1" applyBorder="1" applyProtection="1"/>
    <xf numFmtId="0" fontId="24" fillId="3" borderId="0" xfId="1" applyNumberFormat="1" applyFont="1" applyFill="1" applyBorder="1" applyProtection="1"/>
    <xf numFmtId="164" fontId="24" fillId="0" borderId="0" xfId="0" applyNumberFormat="1" applyFont="1" applyFill="1" applyBorder="1" applyAlignment="1" applyProtection="1">
      <alignment horizontal="center"/>
    </xf>
    <xf numFmtId="0" fontId="24" fillId="0" borderId="24" xfId="0" applyFont="1" applyBorder="1" applyProtection="1"/>
    <xf numFmtId="0" fontId="24" fillId="4" borderId="0" xfId="0" applyFont="1" applyFill="1" applyBorder="1" applyProtection="1"/>
    <xf numFmtId="0" fontId="6" fillId="4" borderId="0" xfId="0" applyFont="1" applyFill="1" applyBorder="1" applyProtection="1"/>
    <xf numFmtId="1" fontId="24" fillId="3" borderId="0" xfId="1" applyNumberFormat="1" applyFont="1" applyFill="1" applyBorder="1" applyAlignment="1" applyProtection="1"/>
    <xf numFmtId="1" fontId="24" fillId="3" borderId="0" xfId="1" applyNumberFormat="1" applyFont="1" applyFill="1" applyBorder="1" applyProtection="1"/>
    <xf numFmtId="164" fontId="5" fillId="0" borderId="38" xfId="1" applyNumberFormat="1" applyFont="1" applyFill="1" applyBorder="1" applyAlignment="1" applyProtection="1"/>
    <xf numFmtId="164" fontId="5" fillId="0" borderId="1" xfId="1" applyNumberFormat="1" applyFont="1" applyFill="1" applyBorder="1" applyAlignment="1" applyProtection="1"/>
    <xf numFmtId="164" fontId="5" fillId="0" borderId="19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2" xfId="1" applyNumberFormat="1" applyFont="1" applyFill="1" applyBorder="1" applyAlignment="1" applyProtection="1"/>
    <xf numFmtId="0" fontId="24" fillId="0" borderId="0" xfId="0" applyFont="1" applyFill="1" applyProtection="1"/>
    <xf numFmtId="0" fontId="6" fillId="0" borderId="0" xfId="0" applyFont="1" applyFill="1" applyBorder="1" applyProtection="1"/>
    <xf numFmtId="0" fontId="24" fillId="0" borderId="0" xfId="1" applyNumberFormat="1" applyFont="1" applyFill="1" applyBorder="1" applyAlignment="1" applyProtection="1"/>
    <xf numFmtId="0" fontId="24" fillId="0" borderId="0" xfId="0" applyFont="1" applyFill="1" applyAlignment="1" applyProtection="1">
      <alignment horizontal="center"/>
    </xf>
    <xf numFmtId="0" fontId="24" fillId="0" borderId="24" xfId="0" applyFont="1" applyFill="1" applyBorder="1" applyProtection="1"/>
    <xf numFmtId="0" fontId="5" fillId="0" borderId="15" xfId="0" applyFont="1" applyBorder="1"/>
    <xf numFmtId="0" fontId="5" fillId="0" borderId="16" xfId="0" applyFont="1" applyBorder="1"/>
    <xf numFmtId="0" fontId="0" fillId="0" borderId="0" xfId="0" applyFill="1"/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17" fontId="12" fillId="0" borderId="0" xfId="0" applyNumberFormat="1" applyFont="1" applyAlignment="1">
      <alignment horizontal="center" vertical="center"/>
    </xf>
    <xf numFmtId="0" fontId="12" fillId="13" borderId="0" xfId="0" applyFont="1" applyFill="1" applyAlignment="1">
      <alignment horizontal="left" vertical="center"/>
    </xf>
    <xf numFmtId="17" fontId="12" fillId="13" borderId="0" xfId="0" applyNumberFormat="1" applyFont="1" applyFill="1" applyAlignment="1">
      <alignment horizontal="center" vertical="center"/>
    </xf>
    <xf numFmtId="44" fontId="12" fillId="13" borderId="0" xfId="6" applyFont="1" applyFill="1" applyAlignment="1">
      <alignment horizontal="center" vertical="center"/>
    </xf>
    <xf numFmtId="44" fontId="12" fillId="13" borderId="0" xfId="6" quotePrefix="1" applyFont="1" applyFill="1" applyAlignment="1">
      <alignment horizontal="center" vertical="center"/>
    </xf>
    <xf numFmtId="0" fontId="26" fillId="13" borderId="0" xfId="0" applyFont="1" applyFill="1" applyAlignment="1">
      <alignment horizontal="left" vertical="center"/>
    </xf>
    <xf numFmtId="44" fontId="26" fillId="13" borderId="0" xfId="6" applyFont="1" applyFill="1" applyAlignment="1">
      <alignment horizontal="center" vertical="center"/>
    </xf>
    <xf numFmtId="44" fontId="12" fillId="0" borderId="0" xfId="6" applyFont="1" applyAlignment="1">
      <alignment horizontal="center" vertical="center"/>
    </xf>
    <xf numFmtId="0" fontId="26" fillId="14" borderId="0" xfId="0" applyFont="1" applyFill="1" applyAlignment="1">
      <alignment horizontal="left" vertical="center"/>
    </xf>
    <xf numFmtId="44" fontId="12" fillId="14" borderId="0" xfId="6" applyFont="1" applyFill="1" applyAlignment="1">
      <alignment horizontal="center" vertical="center"/>
    </xf>
    <xf numFmtId="0" fontId="12" fillId="14" borderId="0" xfId="0" applyFont="1" applyFill="1" applyAlignment="1">
      <alignment horizontal="left" vertical="center"/>
    </xf>
    <xf numFmtId="44" fontId="26" fillId="14" borderId="0" xfId="6" applyFont="1" applyFill="1" applyAlignment="1">
      <alignment horizontal="center" vertical="center"/>
    </xf>
    <xf numFmtId="0" fontId="26" fillId="15" borderId="0" xfId="0" applyFont="1" applyFill="1" applyAlignment="1">
      <alignment horizontal="left" vertical="center"/>
    </xf>
    <xf numFmtId="44" fontId="12" fillId="15" borderId="0" xfId="6" applyFont="1" applyFill="1" applyAlignment="1">
      <alignment horizontal="center" vertical="center"/>
    </xf>
    <xf numFmtId="44" fontId="26" fillId="15" borderId="0" xfId="6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20" fillId="0" borderId="0" xfId="2"/>
    <xf numFmtId="44" fontId="0" fillId="0" borderId="0" xfId="0" applyNumberFormat="1" applyAlignment="1">
      <alignment vertical="center"/>
    </xf>
    <xf numFmtId="44" fontId="3" fillId="16" borderId="0" xfId="6" applyFont="1" applyFill="1" applyAlignment="1">
      <alignment horizontal="center" vertical="center"/>
    </xf>
    <xf numFmtId="1" fontId="28" fillId="16" borderId="0" xfId="0" applyNumberFormat="1" applyFont="1" applyFill="1" applyAlignment="1">
      <alignment horizontal="center" vertical="center"/>
    </xf>
    <xf numFmtId="0" fontId="3" fillId="16" borderId="0" xfId="0" applyFont="1" applyFill="1" applyAlignment="1">
      <alignment vertical="center"/>
    </xf>
    <xf numFmtId="0" fontId="28" fillId="16" borderId="0" xfId="0" applyFont="1" applyFill="1" applyAlignment="1">
      <alignment horizontal="center" vertical="center"/>
    </xf>
    <xf numFmtId="0" fontId="26" fillId="17" borderId="0" xfId="0" applyFont="1" applyFill="1" applyAlignment="1">
      <alignment horizontal="left" vertical="center"/>
    </xf>
    <xf numFmtId="44" fontId="26" fillId="17" borderId="0" xfId="6" applyFont="1" applyFill="1" applyAlignment="1">
      <alignment horizontal="center" vertical="center"/>
    </xf>
    <xf numFmtId="0" fontId="28" fillId="16" borderId="0" xfId="0" applyFont="1" applyFill="1" applyAlignment="1">
      <alignment horizontal="left" vertical="center"/>
    </xf>
    <xf numFmtId="44" fontId="28" fillId="16" borderId="0" xfId="0" applyNumberFormat="1" applyFont="1" applyFill="1" applyAlignment="1">
      <alignment horizontal="center" vertical="center"/>
    </xf>
    <xf numFmtId="0" fontId="3" fillId="11" borderId="0" xfId="0" applyFont="1" applyFill="1" applyAlignment="1">
      <alignment horizontal="center"/>
    </xf>
    <xf numFmtId="0" fontId="6" fillId="9" borderId="5" xfId="0" applyNumberFormat="1" applyFont="1" applyFill="1" applyBorder="1" applyAlignment="1" applyProtection="1">
      <alignment horizontal="center"/>
    </xf>
    <xf numFmtId="0" fontId="6" fillId="9" borderId="6" xfId="0" applyNumberFormat="1" applyFont="1" applyFill="1" applyBorder="1" applyAlignment="1" applyProtection="1">
      <alignment horizontal="center"/>
    </xf>
    <xf numFmtId="0" fontId="6" fillId="9" borderId="7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4" fillId="8" borderId="30" xfId="0" applyFont="1" applyFill="1" applyBorder="1" applyAlignment="1" applyProtection="1">
      <alignment horizontal="center" vertical="center"/>
    </xf>
    <xf numFmtId="0" fontId="4" fillId="8" borderId="34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32" xfId="0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center"/>
    </xf>
    <xf numFmtId="0" fontId="6" fillId="5" borderId="32" xfId="0" applyFont="1" applyFill="1" applyBorder="1" applyAlignment="1" applyProtection="1">
      <alignment horizontal="center"/>
    </xf>
    <xf numFmtId="0" fontId="7" fillId="6" borderId="30" xfId="0" applyFont="1" applyFill="1" applyBorder="1" applyAlignment="1" applyProtection="1">
      <alignment horizontal="center"/>
    </xf>
    <xf numFmtId="0" fontId="7" fillId="6" borderId="34" xfId="0" applyFont="1" applyFill="1" applyBorder="1" applyAlignment="1" applyProtection="1">
      <alignment horizontal="center"/>
    </xf>
    <xf numFmtId="0" fontId="6" fillId="8" borderId="12" xfId="0" applyFont="1" applyFill="1" applyBorder="1" applyAlignment="1" applyProtection="1">
      <alignment horizontal="center"/>
    </xf>
    <xf numFmtId="0" fontId="6" fillId="8" borderId="32" xfId="0" applyFont="1" applyFill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horizontal="center" vertical="center"/>
    </xf>
  </cellXfs>
  <cellStyles count="7">
    <cellStyle name="Moneda" xfId="6" builtinId="4"/>
    <cellStyle name="Normal" xfId="0" builtinId="0"/>
    <cellStyle name="Normal 2" xfId="2" xr:uid="{D23F2E4A-73FE-45DC-9ECB-D820E8AC7BD5}"/>
    <cellStyle name="Normal 3" xfId="3" xr:uid="{0D6287F2-1AA3-4155-8260-B1BE757686F6}"/>
    <cellStyle name="Normal 4" xfId="4" xr:uid="{0472A9C2-01A9-4600-9FA9-EF99E2E9B1AD}"/>
    <cellStyle name="Normal 5" xfId="5" xr:uid="{580AF0EA-A951-4066-AEF4-572AC68B6FEE}"/>
    <cellStyle name="Porcentaje" xfId="1" builtin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9900C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9900CC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9900CC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9900C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9900C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9900C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9900C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9900C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9900C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9900C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9900C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9900CC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rgb="FF9900CC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9900CC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9900CC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9900CC"/>
      <color rgb="FFDCD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MX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MX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Rotación Voluntaria Anual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MX"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'Captura Info'!$E$47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'Captura Info'!$F$41:$R$42</c15:sqref>
                  </c15:fullRef>
                </c:ext>
              </c:extLst>
              <c:f>'Captura Info'!$F$41:$R$42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  <c:pt idx="12">
                    <c:v>ANUAL</c:v>
                  </c:pt>
                </c:lvl>
                <c:lvl>
                  <c:pt idx="0">
                    <c:v>VOLUNTARY TOTAL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'Captura Info'!$F$47:$R$47</c15:sqref>
                  </c15:fullRef>
                </c:ext>
              </c:extLst>
              <c:f>'Captura Info'!$F$47:$Q$47</c:f>
            </c:numRef>
          </c:val>
          <c:extLst>
            <c:ext xmlns:c16="http://schemas.microsoft.com/office/drawing/2014/chart" uri="{C3380CC4-5D6E-409C-BE32-E72D297353CC}">
              <c16:uniqueId val="{00000001-C448-4240-B9CD-30F492AA7F1C}"/>
            </c:ext>
          </c:extLst>
        </c:ser>
        <c:ser>
          <c:idx val="5"/>
          <c:order val="5"/>
          <c:tx>
            <c:strRef>
              <c:f>'Captura Info'!$E$48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'Captura Info'!$F$41:$R$42</c15:sqref>
                  </c15:fullRef>
                </c:ext>
              </c:extLst>
              <c:f>'Captura Info'!$F$41:$R$42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  <c:pt idx="12">
                    <c:v>ANUAL</c:v>
                  </c:pt>
                </c:lvl>
                <c:lvl>
                  <c:pt idx="0">
                    <c:v>VOLUNTARY TOTAL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'Captura Info'!$F$48:$R$48</c15:sqref>
                  </c15:fullRef>
                </c:ext>
              </c:extLst>
              <c:f>'Captura Info'!$F$48:$Q$48</c:f>
            </c:numRef>
          </c:val>
          <c:extLst>
            <c:ext xmlns:c16="http://schemas.microsoft.com/office/drawing/2014/chart" uri="{C3380CC4-5D6E-409C-BE32-E72D297353CC}">
              <c16:uniqueId val="{00000002-C448-4240-B9CD-30F492AA7F1C}"/>
            </c:ext>
          </c:extLst>
        </c:ser>
        <c:ser>
          <c:idx val="6"/>
          <c:order val="6"/>
          <c:tx>
            <c:strRef>
              <c:f>'Captura Info'!$E$49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'Captura Info'!$F$41:$R$42</c15:sqref>
                  </c15:fullRef>
                </c:ext>
              </c:extLst>
              <c:f>'Captura Info'!$F$41:$R$42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  <c:pt idx="12">
                    <c:v>ANUAL</c:v>
                  </c:pt>
                </c:lvl>
                <c:lvl>
                  <c:pt idx="0">
                    <c:v>VOLUNTARY TOTAL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'Captura Info'!$F$49:$R$49</c15:sqref>
                  </c15:fullRef>
                </c:ext>
              </c:extLst>
              <c:f>'Captura Info'!$F$49:$Q$49</c:f>
            </c:numRef>
          </c:val>
          <c:extLst>
            <c:ext xmlns:c16="http://schemas.microsoft.com/office/drawing/2014/chart" uri="{C3380CC4-5D6E-409C-BE32-E72D297353CC}">
              <c16:uniqueId val="{00000003-C448-4240-B9CD-30F492AA7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50377712"/>
        <c:axId val="1549184"/>
        <c:extLst/>
      </c:barChart>
      <c:barChart>
        <c:barDir val="col"/>
        <c:grouping val="clustered"/>
        <c:varyColors val="0"/>
        <c:ser>
          <c:idx val="0"/>
          <c:order val="0"/>
          <c:tx>
            <c:strRef>
              <c:f>'Captura Info'!$E$43</c:f>
              <c:strCache>
                <c:ptCount val="1"/>
                <c:pt idx="0">
                  <c:v>Bajas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'Captura Info'!$F$41:$R$42</c15:sqref>
                  </c15:fullRef>
                </c:ext>
              </c:extLst>
              <c:f>'Captura Info'!$F$41:$R$42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TOTAL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'Captura Info'!$F$43:$R$43</c15:sqref>
                  </c15:fullRef>
                </c:ext>
              </c:extLst>
              <c:f>'Captura Info'!$F$43:$Q$43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2-414A-A4E8-044963A14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50377712"/>
        <c:axId val="154918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'Captura Info'!$E$44</c15:sqref>
                        </c15:formulaRef>
                      </c:ext>
                    </c:extLst>
                    <c:strCache>
                      <c:ptCount val="1"/>
                      <c:pt idx="0">
                        <c:v>Plantilla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'Captura Info'!$F$41:$R$42</c15:sqref>
                        </c15:fullRef>
                        <c15:formulaRef>
                          <c15:sqref>'Captura Info'!$F$41:$R$42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TOTAL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'Captura Info'!$F$44:$R$44</c15:sqref>
                        </c15:fullRef>
                        <c15:formulaRef>
                          <c15:sqref>'Captura Info'!$F$44:$Q$44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458</c:v>
                      </c:pt>
                      <c:pt idx="1">
                        <c:v>250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142-414A-A4E8-044963A14A1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Info'!$E$45</c15:sqref>
                        </c15:formulaRef>
                      </c:ext>
                    </c:extLst>
                    <c:strCache>
                      <c:ptCount val="1"/>
                      <c:pt idx="0">
                        <c:v>Rotación Mensual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'Captura Info'!$F$41:$R$42</c15:sqref>
                        </c15:fullRef>
                        <c15:formulaRef>
                          <c15:sqref>'Captura Info'!$F$41:$R$42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TOTAL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'Captura Info'!$F$45:$R$45</c15:sqref>
                        </c15:fullRef>
                        <c15:formulaRef>
                          <c15:sqref>'Captura Info'!$F$45:$Q$45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6.5502183406113534E-3</c:v>
                      </c:pt>
                      <c:pt idx="1">
                        <c:v>2.8248587570621469E-2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142-414A-A4E8-044963A14A1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Info'!$E$51</c15:sqref>
                        </c15:formulaRef>
                      </c:ext>
                    </c:extLst>
                    <c:strCache>
                      <c:ptCount val="1"/>
                      <c:pt idx="0">
                        <c:v>Meta Mensual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'Captura Info'!$F$41:$R$42</c15:sqref>
                        </c15:fullRef>
                        <c15:formulaRef>
                          <c15:sqref>'Captura Info'!$F$41:$R$42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TOTAL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'Captura Info'!$F$51:$R$51</c15:sqref>
                        </c15:fullRef>
                        <c15:formulaRef>
                          <c15:sqref>'Captura Info'!$F$51:$Q$51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3.3333333333333335E-3</c:v>
                      </c:pt>
                      <c:pt idx="1">
                        <c:v>3.3333333333333335E-3</c:v>
                      </c:pt>
                      <c:pt idx="2">
                        <c:v>3.3333333333333335E-3</c:v>
                      </c:pt>
                      <c:pt idx="3">
                        <c:v>3.3333333333333335E-3</c:v>
                      </c:pt>
                      <c:pt idx="4">
                        <c:v>3.3333333333333335E-3</c:v>
                      </c:pt>
                      <c:pt idx="5">
                        <c:v>3.3333333333333335E-3</c:v>
                      </c:pt>
                      <c:pt idx="6">
                        <c:v>3.3333333333333335E-3</c:v>
                      </c:pt>
                      <c:pt idx="7">
                        <c:v>3.3333333333333335E-3</c:v>
                      </c:pt>
                      <c:pt idx="8">
                        <c:v>3.3333333333333335E-3</c:v>
                      </c:pt>
                      <c:pt idx="9">
                        <c:v>3.3333333333333335E-3</c:v>
                      </c:pt>
                      <c:pt idx="10">
                        <c:v>3.3333333333333335E-3</c:v>
                      </c:pt>
                      <c:pt idx="11">
                        <c:v>3.3333333333333335E-3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026-4C85-9226-69A8CC918A07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'Captura Info'!$E$46</c:f>
              <c:strCache>
                <c:ptCount val="1"/>
                <c:pt idx="0">
                  <c:v>Rotación Anual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'Captura Info'!$F$41:$R$42</c15:sqref>
                  </c15:fullRef>
                </c:ext>
              </c:extLst>
              <c:f>'Captura Info'!$F$41:$R$42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TOTAL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'Captura Info'!$F$46:$R$46</c15:sqref>
                  </c15:fullRef>
                </c:ext>
              </c:extLst>
              <c:f>'Captura Info'!$F$46:$Q$46</c:f>
              <c:numCache>
                <c:formatCode>0.0%</c:formatCode>
                <c:ptCount val="12"/>
                <c:pt idx="0">
                  <c:v>7.8602620087336234E-2</c:v>
                </c:pt>
                <c:pt idx="1">
                  <c:v>0.20879283546739691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48-4240-B9CD-30F492AA7F1C}"/>
            </c:ext>
          </c:extLst>
        </c:ser>
        <c:ser>
          <c:idx val="7"/>
          <c:order val="7"/>
          <c:tx>
            <c:strRef>
              <c:f>'Captura Info'!$E$50</c:f>
              <c:strCache>
                <c:ptCount val="1"/>
                <c:pt idx="0">
                  <c:v>Meta Anual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'Captura Info'!$F$41:$R$42</c15:sqref>
                  </c15:fullRef>
                </c:ext>
              </c:extLst>
              <c:f>'Captura Info'!$F$41:$R$42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TOTAL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'Captura Info'!$F$50:$R$50</c15:sqref>
                  </c15:fullRef>
                </c:ext>
              </c:extLst>
              <c:f>'Captura Info'!$F$50:$Q$50</c:f>
              <c:numCache>
                <c:formatCode>0.0%</c:formatCode>
                <c:ptCount val="12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6-4C85-9226-69A8CC918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24847"/>
        <c:axId val="173019023"/>
      </c:lineChart>
      <c:catAx>
        <c:axId val="95037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9184"/>
        <c:crosses val="autoZero"/>
        <c:auto val="1"/>
        <c:lblAlgn val="ctr"/>
        <c:lblOffset val="100"/>
        <c:noMultiLvlLbl val="0"/>
      </c:catAx>
      <c:valAx>
        <c:axId val="154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0377712"/>
        <c:crosses val="autoZero"/>
        <c:crossBetween val="between"/>
        <c:majorUnit val="1"/>
      </c:valAx>
      <c:valAx>
        <c:axId val="173019023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024847"/>
        <c:crosses val="max"/>
        <c:crossBetween val="between"/>
      </c:valAx>
      <c:catAx>
        <c:axId val="1730248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019023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FF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0" i="0" baseline="0">
                <a:effectLst/>
              </a:rPr>
              <a:t>Voluntaria Salary Mensual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'Captura Info'!$E$30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'Captura Info'!$F$22:$Q$23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SALARY</c:v>
                  </c:pt>
                </c:lvl>
              </c:multiLvlStrCache>
            </c:multiLvlStrRef>
          </c:cat>
          <c:val>
            <c:numRef>
              <c:f>'Captura Info'!$F$30:$Q$30</c:f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DD46-4027-B141-DF3ED11DAEA8}"/>
            </c:ext>
          </c:extLst>
        </c:ser>
        <c:ser>
          <c:idx val="2"/>
          <c:order val="2"/>
          <c:tx>
            <c:strRef>
              <c:f>'Captura Info'!$E$26</c:f>
              <c:strCache>
                <c:ptCount val="1"/>
                <c:pt idx="0">
                  <c:v>Rot Mens Salary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'Captura Info'!$F$22:$Q$23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SALARY</c:v>
                  </c:pt>
                </c:lvl>
              </c:multiLvlStrCache>
            </c:multiLvlStrRef>
          </c:cat>
          <c:val>
            <c:numRef>
              <c:f>'Captura Info'!$F$26:$Q$26</c:f>
              <c:numCache>
                <c:formatCode>0.0%</c:formatCode>
                <c:ptCount val="12"/>
                <c:pt idx="0">
                  <c:v>0</c:v>
                </c:pt>
                <c:pt idx="1">
                  <c:v>3.3057851239669422E-2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D46-4027-B141-DF3ED11DAEA8}"/>
            </c:ext>
          </c:extLst>
        </c:ser>
        <c:ser>
          <c:idx val="4"/>
          <c:order val="4"/>
          <c:tx>
            <c:strRef>
              <c:f>'Captura Info'!$E$28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'Captura Info'!$F$22:$Q$23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SALARY</c:v>
                  </c:pt>
                </c:lvl>
              </c:multiLvlStrCache>
            </c:multiLvlStrRef>
          </c:cat>
          <c:val>
            <c:numRef>
              <c:f>'Captura Info'!$F$28:$Q$28</c:f>
            </c:numRef>
          </c:val>
          <c:extLst>
            <c:ext xmlns:c16="http://schemas.microsoft.com/office/drawing/2014/chart" uri="{C3380CC4-5D6E-409C-BE32-E72D297353CC}">
              <c16:uniqueId val="{00000004-DD46-4027-B141-DF3ED11DAEA8}"/>
            </c:ext>
          </c:extLst>
        </c:ser>
        <c:ser>
          <c:idx val="5"/>
          <c:order val="5"/>
          <c:tx>
            <c:strRef>
              <c:f>'Captura Info'!$E$29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'Captura Info'!$F$22:$Q$23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SALARY</c:v>
                  </c:pt>
                </c:lvl>
              </c:multiLvlStrCache>
            </c:multiLvlStrRef>
          </c:cat>
          <c:val>
            <c:numRef>
              <c:f>'Captura Info'!$F$29:$Q$29</c:f>
            </c:numRef>
          </c:val>
          <c:extLst>
            <c:ext xmlns:c16="http://schemas.microsoft.com/office/drawing/2014/chart" uri="{C3380CC4-5D6E-409C-BE32-E72D297353CC}">
              <c16:uniqueId val="{00000005-DD46-4027-B141-DF3ED11DA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178096"/>
        <c:axId val="20673187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'Captura Info'!$E$24</c15:sqref>
                        </c15:formulaRef>
                      </c:ext>
                    </c:extLst>
                    <c:strCache>
                      <c:ptCount val="1"/>
                      <c:pt idx="0">
                        <c:v>Bajas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'Captura Info'!$F$22:$Q$23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SALARY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'Captura Info'!$F$24:$Q$24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D46-4027-B141-DF3ED11DAEA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Info'!$E$25</c15:sqref>
                        </c15:formulaRef>
                      </c:ext>
                    </c:extLst>
                    <c:strCache>
                      <c:ptCount val="1"/>
                      <c:pt idx="0">
                        <c:v>Plantilla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Info'!$F$22:$Q$23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SALARY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Info'!$F$25:$Q$25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61</c:v>
                      </c:pt>
                      <c:pt idx="1">
                        <c:v>60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D46-4027-B141-DF3ED11DAEA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Info'!$E$27</c15:sqref>
                        </c15:formulaRef>
                      </c:ext>
                    </c:extLst>
                    <c:strCache>
                      <c:ptCount val="1"/>
                      <c:pt idx="0">
                        <c:v>Rot Anual Salary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Info'!$F$22:$Q$23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SALARY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Info'!$F$27:$Q$27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0</c:v>
                      </c:pt>
                      <c:pt idx="1">
                        <c:v>0.19834710743801653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D46-4027-B141-DF3ED11DAEA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Info'!$E$31</c15:sqref>
                        </c15:formulaRef>
                      </c:ext>
                    </c:extLst>
                    <c:strCache>
                      <c:ptCount val="1"/>
                      <c:pt idx="0">
                        <c:v>Meta Anual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Info'!$F$22:$Q$23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SALARY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Info'!$F$31:$Q$31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0.04</c:v>
                      </c:pt>
                      <c:pt idx="1">
                        <c:v>0.04</c:v>
                      </c:pt>
                      <c:pt idx="2">
                        <c:v>0.04</c:v>
                      </c:pt>
                      <c:pt idx="3">
                        <c:v>0.04</c:v>
                      </c:pt>
                      <c:pt idx="4">
                        <c:v>0.04</c:v>
                      </c:pt>
                      <c:pt idx="5">
                        <c:v>0.04</c:v>
                      </c:pt>
                      <c:pt idx="6">
                        <c:v>0.04</c:v>
                      </c:pt>
                      <c:pt idx="7">
                        <c:v>0.04</c:v>
                      </c:pt>
                      <c:pt idx="8">
                        <c:v>0.04</c:v>
                      </c:pt>
                      <c:pt idx="9">
                        <c:v>0.04</c:v>
                      </c:pt>
                      <c:pt idx="10">
                        <c:v>0.04</c:v>
                      </c:pt>
                      <c:pt idx="11">
                        <c:v>0.04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D46-4027-B141-DF3ED11DAEA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'Captura Info'!$E$32</c:f>
              <c:strCache>
                <c:ptCount val="1"/>
                <c:pt idx="0">
                  <c:v>Meta Mensual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'Captura Info'!$F$22:$Q$23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SALARY</c:v>
                  </c:pt>
                </c:lvl>
              </c:multiLvlStrCache>
            </c:multiLvlStrRef>
          </c:cat>
          <c:val>
            <c:numRef>
              <c:f>'Captura Info'!$F$32:$Q$32</c:f>
              <c:numCache>
                <c:formatCode>0.0%</c:formatCode>
                <c:ptCount val="12"/>
                <c:pt idx="0">
                  <c:v>3.3333333333333335E-3</c:v>
                </c:pt>
                <c:pt idx="1">
                  <c:v>3.3333333333333335E-3</c:v>
                </c:pt>
                <c:pt idx="2">
                  <c:v>3.3333333333333335E-3</c:v>
                </c:pt>
                <c:pt idx="3">
                  <c:v>3.3333333333333335E-3</c:v>
                </c:pt>
                <c:pt idx="4">
                  <c:v>3.3333333333333335E-3</c:v>
                </c:pt>
                <c:pt idx="5">
                  <c:v>3.3333333333333335E-3</c:v>
                </c:pt>
                <c:pt idx="6">
                  <c:v>3.3333333333333335E-3</c:v>
                </c:pt>
                <c:pt idx="7">
                  <c:v>3.3333333333333335E-3</c:v>
                </c:pt>
                <c:pt idx="8">
                  <c:v>3.3333333333333335E-3</c:v>
                </c:pt>
                <c:pt idx="9">
                  <c:v>3.3333333333333335E-3</c:v>
                </c:pt>
                <c:pt idx="10">
                  <c:v>3.3333333333333335E-3</c:v>
                </c:pt>
                <c:pt idx="11">
                  <c:v>3.3333333333333335E-3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46-4027-B141-DF3ED11DA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178096"/>
        <c:axId val="2067318768"/>
      </c:lineChart>
      <c:catAx>
        <c:axId val="151117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7318768"/>
        <c:crosses val="autoZero"/>
        <c:auto val="1"/>
        <c:lblAlgn val="ctr"/>
        <c:lblOffset val="100"/>
        <c:noMultiLvlLbl val="0"/>
      </c:catAx>
      <c:valAx>
        <c:axId val="2067318768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17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Involuntaria Hourly Mensual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'Captura Info'!$T$11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'Captura Info'!$U$4:$AF$5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HOURLY</c:v>
                  </c:pt>
                </c:lvl>
              </c:multiLvlStrCache>
            </c:multiLvlStrRef>
          </c:cat>
          <c:val>
            <c:numRef>
              <c:f>'Captura Info'!$U$11:$AF$11</c:f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8965-48A0-BEB4-B9E98BA791B7}"/>
            </c:ext>
          </c:extLst>
        </c:ser>
        <c:ser>
          <c:idx val="2"/>
          <c:order val="2"/>
          <c:tx>
            <c:strRef>
              <c:f>'Captura Info'!$T$8</c:f>
              <c:strCache>
                <c:ptCount val="1"/>
                <c:pt idx="0">
                  <c:v>Rot Mens Hourly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'Captura Info'!$U$4:$AF$5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HOURLY</c:v>
                  </c:pt>
                </c:lvl>
              </c:multiLvlStrCache>
            </c:multiLvlStrRef>
          </c:cat>
          <c:val>
            <c:numRef>
              <c:f>'Captura Info'!$U$8:$AF$8</c:f>
              <c:numCache>
                <c:formatCode>0.0%</c:formatCode>
                <c:ptCount val="12"/>
                <c:pt idx="0">
                  <c:v>1.2594458438287154E-2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965-48A0-BEB4-B9E98BA791B7}"/>
            </c:ext>
          </c:extLst>
        </c:ser>
        <c:ser>
          <c:idx val="4"/>
          <c:order val="4"/>
          <c:tx>
            <c:strRef>
              <c:f>'Captura Info'!$T$10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'Captura Info'!$U$4:$AF$5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HOURLY</c:v>
                  </c:pt>
                </c:lvl>
              </c:multiLvlStrCache>
            </c:multiLvlStrRef>
          </c:cat>
          <c:val>
            <c:numRef>
              <c:f>'Captura Info'!$U$10:$AF$10</c:f>
            </c:numRef>
          </c:val>
          <c:extLst>
            <c:ext xmlns:c16="http://schemas.microsoft.com/office/drawing/2014/chart" uri="{C3380CC4-5D6E-409C-BE32-E72D297353CC}">
              <c16:uniqueId val="{00000004-8965-48A0-BEB4-B9E98BA79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23203168"/>
        <c:axId val="2067317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'Captura Info'!$T$6</c15:sqref>
                        </c15:formulaRef>
                      </c:ext>
                    </c:extLst>
                    <c:strCache>
                      <c:ptCount val="1"/>
                      <c:pt idx="0">
                        <c:v>Bajas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'Captura Info'!$U$4:$AF$5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HOURLY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'Captura Info'!$U$6:$AF$6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965-48A0-BEB4-B9E98BA791B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Info'!$T$7</c15:sqref>
                        </c15:formulaRef>
                      </c:ext>
                    </c:extLst>
                    <c:strCache>
                      <c:ptCount val="1"/>
                      <c:pt idx="0">
                        <c:v>Plantilla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Info'!$U$4:$AF$5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HOURLY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Info'!$U$7:$AF$7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397</c:v>
                      </c:pt>
                      <c:pt idx="1">
                        <c:v>390</c:v>
                      </c:pt>
                      <c:pt idx="2">
                        <c:v>397</c:v>
                      </c:pt>
                      <c:pt idx="3">
                        <c:v>391</c:v>
                      </c:pt>
                      <c:pt idx="4">
                        <c:v>388</c:v>
                      </c:pt>
                      <c:pt idx="5">
                        <c:v>395</c:v>
                      </c:pt>
                      <c:pt idx="6">
                        <c:v>390</c:v>
                      </c:pt>
                      <c:pt idx="7">
                        <c:v>393</c:v>
                      </c:pt>
                      <c:pt idx="8">
                        <c:v>397</c:v>
                      </c:pt>
                      <c:pt idx="9">
                        <c:v>395</c:v>
                      </c:pt>
                      <c:pt idx="10">
                        <c:v>391</c:v>
                      </c:pt>
                      <c:pt idx="11">
                        <c:v>397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965-48A0-BEB4-B9E98BA791B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Info'!$T$9</c15:sqref>
                        </c15:formulaRef>
                      </c:ext>
                    </c:extLst>
                    <c:strCache>
                      <c:ptCount val="1"/>
                      <c:pt idx="0">
                        <c:v>Rot Anual Hourly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Info'!$U$4:$AF$5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HOURLY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Info'!$U$9:$AF$9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0.15113350125944586</c:v>
                      </c:pt>
                      <c:pt idx="1">
                        <c:v>7.5566750629722929E-2</c:v>
                      </c:pt>
                      <c:pt idx="2">
                        <c:v>5.037783375314861E-2</c:v>
                      </c:pt>
                      <c:pt idx="3">
                        <c:v>3.7783375314861464E-2</c:v>
                      </c:pt>
                      <c:pt idx="4">
                        <c:v>3.0226700251889168E-2</c:v>
                      </c:pt>
                      <c:pt idx="5">
                        <c:v>2.5188916876574305E-2</c:v>
                      </c:pt>
                      <c:pt idx="6">
                        <c:v>2.1590500179920834E-2</c:v>
                      </c:pt>
                      <c:pt idx="7">
                        <c:v>1.8891687657430732E-2</c:v>
                      </c:pt>
                      <c:pt idx="8">
                        <c:v>1.6792611251049541E-2</c:v>
                      </c:pt>
                      <c:pt idx="9">
                        <c:v>1.5113350125944584E-2</c:v>
                      </c:pt>
                      <c:pt idx="10">
                        <c:v>1.3739409205404169E-2</c:v>
                      </c:pt>
                      <c:pt idx="11">
                        <c:v>1.2594458438287152E-2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65-48A0-BEB4-B9E98BA791B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Info'!$T$12</c15:sqref>
                        </c15:formulaRef>
                      </c:ext>
                    </c:extLst>
                    <c:strCache>
                      <c:ptCount val="1"/>
                      <c:pt idx="0">
                        <c:v>Meta Anual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Info'!$U$4:$AF$5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HOURLY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Info'!$U$12:$AF$12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965-48A0-BEB4-B9E98BA791B7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'Captura Info'!$T$13</c:f>
              <c:strCache>
                <c:ptCount val="1"/>
                <c:pt idx="0">
                  <c:v>Meta Mensual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'Captura Info'!$U$4:$AF$5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HOURLY</c:v>
                  </c:pt>
                </c:lvl>
              </c:multiLvlStrCache>
            </c:multiLvlStrRef>
          </c:cat>
          <c:val>
            <c:numRef>
              <c:f>'Captura Info'!$U$13:$AF$13</c:f>
              <c:numCache>
                <c:formatCode>0.0%</c:formatCode>
                <c:ptCount val="12"/>
                <c:pt idx="0">
                  <c:v>5.8333333333333336E-3</c:v>
                </c:pt>
                <c:pt idx="1">
                  <c:v>5.8333333333333336E-3</c:v>
                </c:pt>
                <c:pt idx="2">
                  <c:v>5.8333333333333336E-3</c:v>
                </c:pt>
                <c:pt idx="3">
                  <c:v>5.8333333333333336E-3</c:v>
                </c:pt>
                <c:pt idx="4">
                  <c:v>5.8333333333333336E-3</c:v>
                </c:pt>
                <c:pt idx="5">
                  <c:v>5.8333333333333336E-3</c:v>
                </c:pt>
                <c:pt idx="6">
                  <c:v>5.8333333333333336E-3</c:v>
                </c:pt>
                <c:pt idx="7">
                  <c:v>5.8333333333333336E-3</c:v>
                </c:pt>
                <c:pt idx="8">
                  <c:v>5.8333333333333336E-3</c:v>
                </c:pt>
                <c:pt idx="9">
                  <c:v>5.8333333333333336E-3</c:v>
                </c:pt>
                <c:pt idx="10">
                  <c:v>5.8333333333333336E-3</c:v>
                </c:pt>
                <c:pt idx="11">
                  <c:v>5.8333333333333336E-3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65-48A0-BEB4-B9E98BA79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203168"/>
        <c:axId val="2067317520"/>
      </c:lineChart>
      <c:catAx>
        <c:axId val="72320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7317520"/>
        <c:crosses val="autoZero"/>
        <c:auto val="1"/>
        <c:lblAlgn val="ctr"/>
        <c:lblOffset val="100"/>
        <c:noMultiLvlLbl val="0"/>
      </c:catAx>
      <c:valAx>
        <c:axId val="2067317520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3203168"/>
        <c:crosses val="autoZero"/>
        <c:crossBetween val="between"/>
      </c:valAx>
      <c:spPr>
        <a:noFill/>
        <a:ln>
          <a:solidFill>
            <a:srgbClr val="7030A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Involuntaria Salary Mensual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'Captura Info'!$T$30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'Captura Info'!$U$22:$AF$23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SALARY</c:v>
                  </c:pt>
                </c:lvl>
              </c:multiLvlStrCache>
            </c:multiLvlStrRef>
          </c:cat>
          <c:val>
            <c:numRef>
              <c:f>'Captura Info'!$U$30:$AF$30</c:f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060F-43E2-A69C-043C4589BB21}"/>
            </c:ext>
          </c:extLst>
        </c:ser>
        <c:ser>
          <c:idx val="2"/>
          <c:order val="2"/>
          <c:tx>
            <c:strRef>
              <c:f>'Captura Info'!$T$26</c:f>
              <c:strCache>
                <c:ptCount val="1"/>
                <c:pt idx="0">
                  <c:v>Rotación Mensual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'Captura Info'!$U$22:$AF$23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SALARY</c:v>
                  </c:pt>
                </c:lvl>
              </c:multiLvlStrCache>
            </c:multiLvlStrRef>
          </c:cat>
          <c:val>
            <c:numRef>
              <c:f>'Captura Info'!$U$26:$AF$26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060F-43E2-A69C-043C4589BB21}"/>
            </c:ext>
          </c:extLst>
        </c:ser>
        <c:ser>
          <c:idx val="4"/>
          <c:order val="4"/>
          <c:tx>
            <c:strRef>
              <c:f>'Captura Info'!$T$28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'Captura Info'!$U$22:$AF$23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SALARY</c:v>
                  </c:pt>
                </c:lvl>
              </c:multiLvlStrCache>
            </c:multiLvlStrRef>
          </c:cat>
          <c:val>
            <c:numRef>
              <c:f>'Captura Info'!$U$28:$AF$28</c:f>
            </c:numRef>
          </c:val>
          <c:extLst>
            <c:ext xmlns:c16="http://schemas.microsoft.com/office/drawing/2014/chart" uri="{C3380CC4-5D6E-409C-BE32-E72D297353CC}">
              <c16:uniqueId val="{00000003-060F-43E2-A69C-043C4589BB21}"/>
            </c:ext>
          </c:extLst>
        </c:ser>
        <c:ser>
          <c:idx val="5"/>
          <c:order val="5"/>
          <c:tx>
            <c:strRef>
              <c:f>'Captura Info'!$T$29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'Captura Info'!$U$22:$AF$23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SALARY</c:v>
                  </c:pt>
                </c:lvl>
              </c:multiLvlStrCache>
            </c:multiLvlStrRef>
          </c:cat>
          <c:val>
            <c:numRef>
              <c:f>'Captura Info'!$U$29:$AF$29</c:f>
            </c:numRef>
          </c:val>
          <c:extLst>
            <c:ext xmlns:c16="http://schemas.microsoft.com/office/drawing/2014/chart" uri="{C3380CC4-5D6E-409C-BE32-E72D297353CC}">
              <c16:uniqueId val="{00000004-060F-43E2-A69C-043C4589B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23203168"/>
        <c:axId val="2067317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'Captura Info'!$T$24</c15:sqref>
                        </c15:formulaRef>
                      </c:ext>
                    </c:extLst>
                    <c:strCache>
                      <c:ptCount val="1"/>
                      <c:pt idx="0">
                        <c:v>Bajas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'Captura Info'!$U$22:$AF$23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SALARY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'Captura Info'!$U$24:$AF$24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060F-43E2-A69C-043C4589BB2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Info'!$T$25</c15:sqref>
                        </c15:formulaRef>
                      </c:ext>
                    </c:extLst>
                    <c:strCache>
                      <c:ptCount val="1"/>
                      <c:pt idx="0">
                        <c:v>Plantilla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Info'!$U$22:$AF$23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SALARY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Info'!$U$25:$AF$25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61</c:v>
                      </c:pt>
                      <c:pt idx="1">
                        <c:v>60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60F-43E2-A69C-043C4589BB2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Info'!$T$27</c15:sqref>
                        </c15:formulaRef>
                      </c:ext>
                    </c:extLst>
                    <c:strCache>
                      <c:ptCount val="1"/>
                      <c:pt idx="0">
                        <c:v>Rotación Anual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Info'!$U$22:$AF$23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SALARY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Info'!$U$27:$AF$27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60F-43E2-A69C-043C4589BB2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Info'!$T$31</c15:sqref>
                        </c15:formulaRef>
                      </c:ext>
                    </c:extLst>
                    <c:strCache>
                      <c:ptCount val="1"/>
                      <c:pt idx="0">
                        <c:v>Meta Anual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Info'!$U$22:$AF$23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SALARY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Info'!$U$31:$AF$31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60F-43E2-A69C-043C4589BB2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'Captura Info'!$T$32</c:f>
              <c:strCache>
                <c:ptCount val="1"/>
                <c:pt idx="0">
                  <c:v>Meta Mensual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'Captura Info'!$U$22:$AF$23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SALARY</c:v>
                  </c:pt>
                </c:lvl>
              </c:multiLvlStrCache>
            </c:multiLvlStrRef>
          </c:cat>
          <c:val>
            <c:numRef>
              <c:f>'Captura Info'!$U$32:$AF$32</c:f>
              <c:numCache>
                <c:formatCode>0.0%</c:formatCode>
                <c:ptCount val="12"/>
                <c:pt idx="0">
                  <c:v>5.8333333333333336E-3</c:v>
                </c:pt>
                <c:pt idx="1">
                  <c:v>5.8333333333333336E-3</c:v>
                </c:pt>
                <c:pt idx="2">
                  <c:v>5.8333333333333336E-3</c:v>
                </c:pt>
                <c:pt idx="3">
                  <c:v>5.8333333333333336E-3</c:v>
                </c:pt>
                <c:pt idx="4">
                  <c:v>5.8333333333333336E-3</c:v>
                </c:pt>
                <c:pt idx="5">
                  <c:v>5.8333333333333336E-3</c:v>
                </c:pt>
                <c:pt idx="6">
                  <c:v>5.8333333333333336E-3</c:v>
                </c:pt>
                <c:pt idx="7">
                  <c:v>5.8333333333333336E-3</c:v>
                </c:pt>
                <c:pt idx="8">
                  <c:v>5.8333333333333336E-3</c:v>
                </c:pt>
                <c:pt idx="9">
                  <c:v>5.8333333333333336E-3</c:v>
                </c:pt>
                <c:pt idx="10">
                  <c:v>5.8333333333333336E-3</c:v>
                </c:pt>
                <c:pt idx="11">
                  <c:v>5.8333333333333336E-3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F-43E2-A69C-043C4589B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203168"/>
        <c:axId val="2067317520"/>
      </c:lineChart>
      <c:catAx>
        <c:axId val="72320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7317520"/>
        <c:crosses val="autoZero"/>
        <c:auto val="1"/>
        <c:lblAlgn val="ctr"/>
        <c:lblOffset val="100"/>
        <c:noMultiLvlLbl val="0"/>
      </c:catAx>
      <c:valAx>
        <c:axId val="2067317520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320316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MX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MX" sz="1800" b="0" i="0" u="none" strike="noStrike" baseline="0">
                <a:effectLst/>
              </a:rPr>
              <a:t>Rotación</a:t>
            </a:r>
            <a:r>
              <a:rPr lang="es-MX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 Involuntaria Anual</a:t>
            </a:r>
          </a:p>
        </c:rich>
      </c:tx>
      <c:layout>
        <c:manualLayout>
          <c:xMode val="edge"/>
          <c:yMode val="edge"/>
          <c:x val="0.22434717523238248"/>
          <c:y val="1.9794989373831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MX"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4"/>
          <c:tx>
            <c:strRef>
              <c:f>'Captura Info'!$T$47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'Captura Info'!$U$41:$AF$42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TOTAL</c:v>
                  </c:pt>
                </c:lvl>
              </c:multiLvlStrCache>
            </c:multiLvlStrRef>
          </c:cat>
          <c:val>
            <c:numRef>
              <c:f>'Captura Info'!$U$47:$AF$47</c:f>
            </c:numRef>
          </c:val>
          <c:extLst>
            <c:ext xmlns:c16="http://schemas.microsoft.com/office/drawing/2014/chart" uri="{C3380CC4-5D6E-409C-BE32-E72D297353CC}">
              <c16:uniqueId val="{00000002-AC0C-4BEC-AE23-618E5DD028A7}"/>
            </c:ext>
          </c:extLst>
        </c:ser>
        <c:ser>
          <c:idx val="6"/>
          <c:order val="5"/>
          <c:tx>
            <c:strRef>
              <c:f>'Captura Info'!$T$48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'Captura Info'!$U$41:$AF$42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TOTAL</c:v>
                  </c:pt>
                </c:lvl>
              </c:multiLvlStrCache>
            </c:multiLvlStrRef>
          </c:cat>
          <c:val>
            <c:numRef>
              <c:f>'Captura Info'!$U$48:$AF$48</c:f>
            </c:numRef>
          </c:val>
          <c:extLst>
            <c:ext xmlns:c16="http://schemas.microsoft.com/office/drawing/2014/chart" uri="{C3380CC4-5D6E-409C-BE32-E72D297353CC}">
              <c16:uniqueId val="{00000003-AC0C-4BEC-AE23-618E5DD028A7}"/>
            </c:ext>
          </c:extLst>
        </c:ser>
        <c:ser>
          <c:idx val="1"/>
          <c:order val="6"/>
          <c:tx>
            <c:strRef>
              <c:f>'Captura Info'!$T$49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'Captura Info'!$U$41:$AF$42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TOTAL</c:v>
                  </c:pt>
                </c:lvl>
              </c:multiLvlStrCache>
            </c:multiLvlStrRef>
          </c:cat>
          <c:val>
            <c:numRef>
              <c:f>'Captura Info'!$U$49:$AF$49</c:f>
            </c:numRef>
          </c:val>
          <c:extLst>
            <c:ext xmlns:c16="http://schemas.microsoft.com/office/drawing/2014/chart" uri="{C3380CC4-5D6E-409C-BE32-E72D297353CC}">
              <c16:uniqueId val="{00000001-6ECF-4F06-B0A7-717363C31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9526336"/>
        <c:axId val="1573312"/>
        <c:extLst/>
      </c:barChart>
      <c:barChart>
        <c:barDir val="col"/>
        <c:grouping val="stacked"/>
        <c:varyColors val="0"/>
        <c:ser>
          <c:idx val="0"/>
          <c:order val="0"/>
          <c:tx>
            <c:strRef>
              <c:f>'Captura Info'!$T$43</c:f>
              <c:strCache>
                <c:ptCount val="1"/>
                <c:pt idx="0">
                  <c:v>Bajas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'Captura Info'!$U$41:$AF$42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TOTAL</c:v>
                  </c:pt>
                </c:lvl>
              </c:multiLvlStrCache>
            </c:multiLvlStrRef>
          </c:cat>
          <c:val>
            <c:numRef>
              <c:f>'Captura Info'!$U$43:$AF$43</c:f>
              <c:numCache>
                <c:formatCode>General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0-4E2A-9E83-1625D3190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59526336"/>
        <c:axId val="1573312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'Captura Info'!$T$44</c15:sqref>
                        </c15:formulaRef>
                      </c:ext>
                    </c:extLst>
                    <c:strCache>
                      <c:ptCount val="1"/>
                      <c:pt idx="0">
                        <c:v>Plantilla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'Captura Info'!$U$41:$AF$42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TOTAL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'Captura Info'!$U$44:$AF$44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458</c:v>
                      </c:pt>
                      <c:pt idx="1">
                        <c:v>250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920-4E2A-9E83-1625D3190CAA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Info'!$T$45</c15:sqref>
                        </c15:formulaRef>
                      </c:ext>
                    </c:extLst>
                    <c:strCache>
                      <c:ptCount val="1"/>
                      <c:pt idx="0">
                        <c:v>Rotación Mensual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Info'!$U$41:$AF$42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TOTAL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Info'!$U$45:$AF$45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1.0917030567685589E-2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AC0C-4BEC-AE23-618E5DD028A7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Info'!$T$51</c15:sqref>
                        </c15:formulaRef>
                      </c:ext>
                    </c:extLst>
                    <c:strCache>
                      <c:ptCount val="1"/>
                      <c:pt idx="0">
                        <c:v>Meta Mensual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Info'!$U$41:$AF$42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TOTAL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Info'!$U$51:$AF$51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5.8333333333333336E-3</c:v>
                      </c:pt>
                      <c:pt idx="1">
                        <c:v>5.8333333333333336E-3</c:v>
                      </c:pt>
                      <c:pt idx="2">
                        <c:v>5.8333333333333336E-3</c:v>
                      </c:pt>
                      <c:pt idx="3">
                        <c:v>5.8333333333333336E-3</c:v>
                      </c:pt>
                      <c:pt idx="4">
                        <c:v>5.8333333333333336E-3</c:v>
                      </c:pt>
                      <c:pt idx="5">
                        <c:v>5.8333333333333336E-3</c:v>
                      </c:pt>
                      <c:pt idx="6">
                        <c:v>5.8333333333333336E-3</c:v>
                      </c:pt>
                      <c:pt idx="7">
                        <c:v>5.8333333333333336E-3</c:v>
                      </c:pt>
                      <c:pt idx="8">
                        <c:v>5.8333333333333336E-3</c:v>
                      </c:pt>
                      <c:pt idx="9">
                        <c:v>5.8333333333333336E-3</c:v>
                      </c:pt>
                      <c:pt idx="10">
                        <c:v>5.8333333333333336E-3</c:v>
                      </c:pt>
                      <c:pt idx="11">
                        <c:v>5.8333333333333336E-3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ECF-4F06-B0A7-717363C3155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3"/>
          <c:tx>
            <c:strRef>
              <c:f>'Captura Info'!$T$46</c:f>
              <c:strCache>
                <c:ptCount val="1"/>
                <c:pt idx="0">
                  <c:v>Rotación Anual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'Captura Info'!$U$41:$AF$42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TOTAL</c:v>
                  </c:pt>
                </c:lvl>
              </c:multiLvlStrCache>
            </c:multiLvlStrRef>
          </c:cat>
          <c:val>
            <c:numRef>
              <c:f>'Captura Info'!$U$46:$AF$46</c:f>
              <c:numCache>
                <c:formatCode>0.0%</c:formatCode>
                <c:ptCount val="12"/>
                <c:pt idx="0">
                  <c:v>0.13100436681222707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0C-4BEC-AE23-618E5DD028A7}"/>
            </c:ext>
          </c:extLst>
        </c:ser>
        <c:ser>
          <c:idx val="7"/>
          <c:order val="7"/>
          <c:tx>
            <c:strRef>
              <c:f>'Captura Info'!$T$50</c:f>
              <c:strCache>
                <c:ptCount val="1"/>
                <c:pt idx="0">
                  <c:v>Meta Anual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'Captura Info'!$U$41:$AF$42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TOTAL</c:v>
                  </c:pt>
                </c:lvl>
              </c:multiLvlStrCache>
            </c:multiLvlStrRef>
          </c:cat>
          <c:val>
            <c:numRef>
              <c:f>'Captura Info'!$U$50:$AF$50</c:f>
              <c:numCache>
                <c:formatCode>0.0%</c:formatCode>
                <c:ptCount val="12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CF-4F06-B0A7-717363C31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384928"/>
        <c:axId val="1360380768"/>
      </c:lineChart>
      <c:catAx>
        <c:axId val="7595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3312"/>
        <c:crosses val="autoZero"/>
        <c:auto val="1"/>
        <c:lblAlgn val="ctr"/>
        <c:lblOffset val="100"/>
        <c:noMultiLvlLbl val="0"/>
      </c:catAx>
      <c:valAx>
        <c:axId val="1573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9526336"/>
        <c:crosses val="autoZero"/>
        <c:crossBetween val="between"/>
      </c:valAx>
      <c:valAx>
        <c:axId val="136038076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0384928"/>
        <c:crosses val="max"/>
        <c:crossBetween val="between"/>
      </c:valAx>
      <c:catAx>
        <c:axId val="136038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0380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MX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MX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Rotación Anual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MX"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'Captura Info'!$AJ$43</c:f>
              <c:strCache>
                <c:ptCount val="1"/>
                <c:pt idx="0">
                  <c:v>Bajas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'Captura Info'!$AK$41:$AV$42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ROTACION TOTAL</c:v>
                  </c:pt>
                </c:lvl>
              </c:multiLvlStrCache>
            </c:multiLvlStrRef>
          </c:cat>
          <c:val>
            <c:numRef>
              <c:f>'Captura Info'!$AK$43:$AV$43</c:f>
              <c:numCache>
                <c:formatCode>General</c:formatCode>
                <c:ptCount val="12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B-4BEE-B199-C58A5CFA1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0265280"/>
        <c:axId val="15695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'Captura Info'!$AJ$44</c15:sqref>
                        </c15:formulaRef>
                      </c:ext>
                    </c:extLst>
                    <c:strCache>
                      <c:ptCount val="1"/>
                      <c:pt idx="0">
                        <c:v>Plantilla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'Captura Info'!$AK$41:$AV$42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ROTACION TOTAL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'Captura Info'!$AK$44:$AV$44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458</c:v>
                      </c:pt>
                      <c:pt idx="1">
                        <c:v>250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6EB-4BEE-B199-C58A5CFA1F1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'Captura Info'!$AJ$46</c:f>
              <c:strCache>
                <c:ptCount val="1"/>
                <c:pt idx="0">
                  <c:v>Rotación Anual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'Captura Info'!$AK$41:$AV$42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ROTACION TOTAL</c:v>
                  </c:pt>
                </c:lvl>
              </c:multiLvlStrCache>
            </c:multiLvlStrRef>
          </c:cat>
          <c:val>
            <c:numRef>
              <c:f>'Captura Info'!$AK$46:$AV$46</c:f>
              <c:numCache>
                <c:formatCode>0.0%</c:formatCode>
                <c:ptCount val="12"/>
                <c:pt idx="0">
                  <c:v>0.20960698689956331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2-423A-9E5B-1A6EC83CE7D0}"/>
            </c:ext>
          </c:extLst>
        </c:ser>
        <c:ser>
          <c:idx val="4"/>
          <c:order val="4"/>
          <c:tx>
            <c:strRef>
              <c:f>'Captura Info'!$AJ$47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'Captura Info'!$AK$41:$AV$42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ROTACION TOTAL</c:v>
                  </c:pt>
                </c:lvl>
              </c:multiLvlStrCache>
            </c:multiLvlStrRef>
          </c:cat>
          <c:val>
            <c:numRef>
              <c:f>'Captura Info'!$AK$47:$AV$47</c:f>
            </c:numRef>
          </c:val>
          <c:smooth val="0"/>
          <c:extLst>
            <c:ext xmlns:c16="http://schemas.microsoft.com/office/drawing/2014/chart" uri="{C3380CC4-5D6E-409C-BE32-E72D297353CC}">
              <c16:uniqueId val="{00000001-9C22-423A-9E5B-1A6EC83CE7D0}"/>
            </c:ext>
          </c:extLst>
        </c:ser>
        <c:ser>
          <c:idx val="5"/>
          <c:order val="5"/>
          <c:tx>
            <c:strRef>
              <c:f>'Captura Info'!$AJ$48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'Captura Info'!$AK$41:$AV$42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ROTACION TOTAL</c:v>
                  </c:pt>
                </c:lvl>
              </c:multiLvlStrCache>
            </c:multiLvlStrRef>
          </c:cat>
          <c:val>
            <c:numRef>
              <c:f>'Captura Info'!$AK$48:$AV$48</c:f>
            </c:numRef>
          </c:val>
          <c:smooth val="0"/>
          <c:extLst>
            <c:ext xmlns:c16="http://schemas.microsoft.com/office/drawing/2014/chart" uri="{C3380CC4-5D6E-409C-BE32-E72D297353CC}">
              <c16:uniqueId val="{00000002-9C22-423A-9E5B-1A6EC83CE7D0}"/>
            </c:ext>
          </c:extLst>
        </c:ser>
        <c:ser>
          <c:idx val="6"/>
          <c:order val="6"/>
          <c:tx>
            <c:strRef>
              <c:f>'Captura Info'!$AJ$49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'Captura Info'!$AK$41:$AV$42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ROTACION TOTAL</c:v>
                  </c:pt>
                </c:lvl>
              </c:multiLvlStrCache>
            </c:multiLvlStrRef>
          </c:cat>
          <c:val>
            <c:numRef>
              <c:f>'Captura Info'!$AK$49:$AV$49</c:f>
            </c:numRef>
          </c:val>
          <c:smooth val="0"/>
          <c:extLst>
            <c:ext xmlns:c16="http://schemas.microsoft.com/office/drawing/2014/chart" uri="{C3380CC4-5D6E-409C-BE32-E72D297353CC}">
              <c16:uniqueId val="{00000003-9C22-423A-9E5B-1A6EC83CE7D0}"/>
            </c:ext>
          </c:extLst>
        </c:ser>
        <c:ser>
          <c:idx val="7"/>
          <c:order val="7"/>
          <c:tx>
            <c:strRef>
              <c:f>'Captura Info'!$AJ$50</c:f>
              <c:strCache>
                <c:ptCount val="1"/>
                <c:pt idx="0">
                  <c:v>Meta Anual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'Captura Info'!$AK$41:$AV$42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ROTACION TOTAL</c:v>
                  </c:pt>
                </c:lvl>
              </c:multiLvlStrCache>
            </c:multiLvlStrRef>
          </c:cat>
          <c:val>
            <c:numRef>
              <c:f>'Captura Info'!$AK$50:$AV$50</c:f>
              <c:numCache>
                <c:formatCode>0.0%</c:formatCode>
                <c:ptCount val="12"/>
                <c:pt idx="0">
                  <c:v>0.11000000000000001</c:v>
                </c:pt>
                <c:pt idx="1">
                  <c:v>0.11000000000000001</c:v>
                </c:pt>
                <c:pt idx="2">
                  <c:v>0.11000000000000001</c:v>
                </c:pt>
                <c:pt idx="3">
                  <c:v>0.11000000000000001</c:v>
                </c:pt>
                <c:pt idx="4">
                  <c:v>0.11000000000000001</c:v>
                </c:pt>
                <c:pt idx="5">
                  <c:v>0.11000000000000001</c:v>
                </c:pt>
                <c:pt idx="6">
                  <c:v>0.11000000000000001</c:v>
                </c:pt>
                <c:pt idx="7">
                  <c:v>0.11000000000000001</c:v>
                </c:pt>
                <c:pt idx="8">
                  <c:v>0.11000000000000001</c:v>
                </c:pt>
                <c:pt idx="9">
                  <c:v>0.11000000000000001</c:v>
                </c:pt>
                <c:pt idx="10">
                  <c:v>0.11000000000000001</c:v>
                </c:pt>
                <c:pt idx="11">
                  <c:v>0.11000000000000001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80-42BB-AC72-1813A92DE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266880"/>
        <c:axId val="156540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'Captura Info'!$AJ$45</c15:sqref>
                        </c15:formulaRef>
                      </c:ext>
                    </c:extLst>
                    <c:strCache>
                      <c:ptCount val="1"/>
                      <c:pt idx="0">
                        <c:v>Rotación Mensual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'Captura Info'!$AK$41:$AV$42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ROTACION TOTAL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'Captura Info'!$AK$45:$AV$45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1.7467248908296942E-2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6EB-4BEE-B199-C58A5CFA1F1A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Info'!$AJ$51</c15:sqref>
                        </c15:formulaRef>
                      </c:ext>
                    </c:extLst>
                    <c:strCache>
                      <c:ptCount val="1"/>
                      <c:pt idx="0">
                        <c:v>Meta Mensual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Info'!$AK$41:$AV$42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ROTACION TOTAL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Info'!$AK$51:$AV$51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9.1666666666666667E-3</c:v>
                      </c:pt>
                      <c:pt idx="1">
                        <c:v>9.1666666666666667E-3</c:v>
                      </c:pt>
                      <c:pt idx="2">
                        <c:v>9.1666666666666667E-3</c:v>
                      </c:pt>
                      <c:pt idx="3">
                        <c:v>9.1666666666666667E-3</c:v>
                      </c:pt>
                      <c:pt idx="4">
                        <c:v>9.1666666666666667E-3</c:v>
                      </c:pt>
                      <c:pt idx="5">
                        <c:v>9.1666666666666667E-3</c:v>
                      </c:pt>
                      <c:pt idx="6">
                        <c:v>9.1666666666666667E-3</c:v>
                      </c:pt>
                      <c:pt idx="7">
                        <c:v>9.1666666666666667E-3</c:v>
                      </c:pt>
                      <c:pt idx="8">
                        <c:v>9.1666666666666667E-3</c:v>
                      </c:pt>
                      <c:pt idx="9">
                        <c:v>9.1666666666666667E-3</c:v>
                      </c:pt>
                      <c:pt idx="10">
                        <c:v>9.1666666666666667E-3</c:v>
                      </c:pt>
                      <c:pt idx="11">
                        <c:v>9.1666666666666667E-3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F80-42BB-AC72-1813A92DE253}"/>
                  </c:ext>
                </c:extLst>
              </c15:ser>
            </c15:filteredLineSeries>
          </c:ext>
        </c:extLst>
      </c:lineChart>
      <c:catAx>
        <c:axId val="80026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69568"/>
        <c:crosses val="autoZero"/>
        <c:auto val="1"/>
        <c:lblAlgn val="ctr"/>
        <c:lblOffset val="100"/>
        <c:noMultiLvlLbl val="0"/>
      </c:catAx>
      <c:valAx>
        <c:axId val="156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0265280"/>
        <c:crosses val="autoZero"/>
        <c:crossBetween val="between"/>
      </c:valAx>
      <c:valAx>
        <c:axId val="1565408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0266880"/>
        <c:crosses val="max"/>
        <c:crossBetween val="between"/>
        <c:minorUnit val="2.0000000000000004E-2"/>
      </c:valAx>
      <c:catAx>
        <c:axId val="800266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65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MX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MX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ROTACIÓN TOTAL HOURLY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MX"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'Captura Info'!$E$9</c:f>
              <c:strCache>
                <c:ptCount val="1"/>
                <c:pt idx="0">
                  <c:v>Rot Anual Hourly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rgbClr val="7030A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'Captura Info'!$AK$5:$AV$5</c:f>
              <c:numCache>
                <c:formatCode>mmm\-yy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'Captura Info'!$F$9:$Q$9</c:f>
              <c:numCache>
                <c:formatCode>0.0%</c:formatCode>
                <c:ptCount val="12"/>
                <c:pt idx="0">
                  <c:v>9.06801007556675E-2</c:v>
                </c:pt>
                <c:pt idx="1">
                  <c:v>0.16732226130540684</c:v>
                </c:pt>
                <c:pt idx="2">
                  <c:v>0.12171335844756898</c:v>
                </c:pt>
                <c:pt idx="3">
                  <c:v>0.136970298023494</c:v>
                </c:pt>
                <c:pt idx="4">
                  <c:v>0.14654671338670278</c:v>
                </c:pt>
                <c:pt idx="5">
                  <c:v>0.15788215898444899</c:v>
                </c:pt>
                <c:pt idx="6">
                  <c:v>0.17026842016683436</c:v>
                </c:pt>
                <c:pt idx="7">
                  <c:v>0.17963620864214863</c:v>
                </c:pt>
                <c:pt idx="8">
                  <c:v>0.17317873960877347</c:v>
                </c:pt>
                <c:pt idx="9">
                  <c:v>0.16798207776910823</c:v>
                </c:pt>
                <c:pt idx="10">
                  <c:v>0.16381438020647593</c:v>
                </c:pt>
                <c:pt idx="11">
                  <c:v>0.15777739505390581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BB-431F-A08D-63B687137AFC}"/>
            </c:ext>
          </c:extLst>
        </c:ser>
        <c:ser>
          <c:idx val="2"/>
          <c:order val="2"/>
          <c:tx>
            <c:strRef>
              <c:f>'Captura Info'!$T$9</c:f>
              <c:strCache>
                <c:ptCount val="1"/>
                <c:pt idx="0">
                  <c:v>Rot Anual Hourly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'Captura Info'!$AK$5:$AV$5</c:f>
              <c:numCache>
                <c:formatCode>mmm\-yy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'Captura Info'!$U$9:$AF$9</c:f>
              <c:numCache>
                <c:formatCode>0.0%</c:formatCode>
                <c:ptCount val="12"/>
                <c:pt idx="0">
                  <c:v>0.15113350125944586</c:v>
                </c:pt>
                <c:pt idx="1">
                  <c:v>7.5566750629722929E-2</c:v>
                </c:pt>
                <c:pt idx="2">
                  <c:v>5.037783375314861E-2</c:v>
                </c:pt>
                <c:pt idx="3">
                  <c:v>3.7783375314861464E-2</c:v>
                </c:pt>
                <c:pt idx="4">
                  <c:v>3.0226700251889168E-2</c:v>
                </c:pt>
                <c:pt idx="5">
                  <c:v>2.5188916876574305E-2</c:v>
                </c:pt>
                <c:pt idx="6">
                  <c:v>2.1590500179920834E-2</c:v>
                </c:pt>
                <c:pt idx="7">
                  <c:v>1.8891687657430732E-2</c:v>
                </c:pt>
                <c:pt idx="8">
                  <c:v>1.6792611251049541E-2</c:v>
                </c:pt>
                <c:pt idx="9">
                  <c:v>1.5113350125944584E-2</c:v>
                </c:pt>
                <c:pt idx="10">
                  <c:v>1.3739409205404169E-2</c:v>
                </c:pt>
                <c:pt idx="11">
                  <c:v>1.2594458438287152E-2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BB-431F-A08D-63B687137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0828928"/>
        <c:axId val="1491542688"/>
      </c:barChart>
      <c:lineChart>
        <c:grouping val="standard"/>
        <c:varyColors val="0"/>
        <c:ser>
          <c:idx val="0"/>
          <c:order val="0"/>
          <c:tx>
            <c:strRef>
              <c:f>'Captura Info'!$AJ$12</c:f>
              <c:strCache>
                <c:ptCount val="1"/>
                <c:pt idx="0">
                  <c:v>Meta Anual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'Captura Info'!$AK$5:$AV$5</c:f>
              <c:numCache>
                <c:formatCode>mmm\-yy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'Captura Info'!$AK$12:$AV$12</c:f>
              <c:numCache>
                <c:formatCode>0.0%</c:formatCode>
                <c:ptCount val="12"/>
                <c:pt idx="0">
                  <c:v>0.11000000000000001</c:v>
                </c:pt>
                <c:pt idx="1">
                  <c:v>0.11000000000000001</c:v>
                </c:pt>
                <c:pt idx="2">
                  <c:v>0.11000000000000001</c:v>
                </c:pt>
                <c:pt idx="3">
                  <c:v>0.11000000000000001</c:v>
                </c:pt>
                <c:pt idx="4">
                  <c:v>0.11000000000000001</c:v>
                </c:pt>
                <c:pt idx="5">
                  <c:v>0.11000000000000001</c:v>
                </c:pt>
                <c:pt idx="6">
                  <c:v>0.11000000000000001</c:v>
                </c:pt>
                <c:pt idx="7">
                  <c:v>0.11000000000000001</c:v>
                </c:pt>
                <c:pt idx="8">
                  <c:v>0.11000000000000001</c:v>
                </c:pt>
                <c:pt idx="9">
                  <c:v>0.11000000000000001</c:v>
                </c:pt>
                <c:pt idx="10">
                  <c:v>0.11000000000000001</c:v>
                </c:pt>
                <c:pt idx="11">
                  <c:v>0.11000000000000001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BD3E-4110-9604-7FFA37D0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828928"/>
        <c:axId val="1491542688"/>
      </c:lineChart>
      <c:valAx>
        <c:axId val="149154268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80828928"/>
        <c:crosses val="max"/>
        <c:crossBetween val="between"/>
      </c:valAx>
      <c:dateAx>
        <c:axId val="1280828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154268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6623056733293"/>
          <c:y val="0.89259640429750975"/>
          <c:w val="0.54226626287098723"/>
          <c:h val="7.8099609531390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MX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MX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ROTACIÓN  TOTAL SALARY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MX"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'Captura Info'!$E$27</c:f>
              <c:strCache>
                <c:ptCount val="1"/>
                <c:pt idx="0">
                  <c:v>Rot Anual Salary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'Captura Info'!$AK$23:$AV$23</c:f>
              <c:numCache>
                <c:formatCode>mmm\-yy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'Captura Info'!$F$27:$Q$27</c:f>
              <c:numCache>
                <c:formatCode>0.0%</c:formatCode>
                <c:ptCount val="12"/>
                <c:pt idx="0">
                  <c:v>0</c:v>
                </c:pt>
                <c:pt idx="1">
                  <c:v>0.19834710743801653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893-4457-A810-D819C633CE96}"/>
            </c:ext>
          </c:extLst>
        </c:ser>
        <c:ser>
          <c:idx val="1"/>
          <c:order val="1"/>
          <c:tx>
            <c:strRef>
              <c:f>'Captura Info'!$T$27</c:f>
              <c:strCache>
                <c:ptCount val="1"/>
                <c:pt idx="0">
                  <c:v>Rotación Anual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'Captura Info'!$AK$23:$AV$23</c:f>
              <c:numCache>
                <c:formatCode>mmm\-yy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'Captura Info'!$U$27:$AF$27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E7-4B6C-98B0-F6AC97D4F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31616"/>
        <c:axId val="1453504"/>
      </c:barChart>
      <c:lineChart>
        <c:grouping val="standard"/>
        <c:varyColors val="0"/>
        <c:ser>
          <c:idx val="2"/>
          <c:order val="2"/>
          <c:tx>
            <c:strRef>
              <c:f>'Captura Info'!$AJ$31</c:f>
              <c:strCache>
                <c:ptCount val="1"/>
                <c:pt idx="0">
                  <c:v>Meta Anual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'Captura Info'!$AK$23:$AV$23</c:f>
              <c:numCache>
                <c:formatCode>mmm\-yy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'Captura Info'!$AK$31:$AV$31</c:f>
              <c:numCache>
                <c:formatCode>0.0%</c:formatCode>
                <c:ptCount val="12"/>
                <c:pt idx="0">
                  <c:v>0.11000000000000001</c:v>
                </c:pt>
                <c:pt idx="1">
                  <c:v>0.11000000000000001</c:v>
                </c:pt>
                <c:pt idx="2">
                  <c:v>0.11000000000000001</c:v>
                </c:pt>
                <c:pt idx="3">
                  <c:v>0.11000000000000001</c:v>
                </c:pt>
                <c:pt idx="4">
                  <c:v>0.11000000000000001</c:v>
                </c:pt>
                <c:pt idx="5">
                  <c:v>0.11000000000000001</c:v>
                </c:pt>
                <c:pt idx="6">
                  <c:v>0.11000000000000001</c:v>
                </c:pt>
                <c:pt idx="7">
                  <c:v>0.11000000000000001</c:v>
                </c:pt>
                <c:pt idx="8">
                  <c:v>0.11000000000000001</c:v>
                </c:pt>
                <c:pt idx="9">
                  <c:v>0.11000000000000001</c:v>
                </c:pt>
                <c:pt idx="10">
                  <c:v>0.11000000000000001</c:v>
                </c:pt>
                <c:pt idx="11">
                  <c:v>0.11000000000000001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E7-4B6C-98B0-F6AC97D4F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1616"/>
        <c:axId val="1453504"/>
      </c:lineChart>
      <c:valAx>
        <c:axId val="145350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931616"/>
        <c:crosses val="max"/>
        <c:crossBetween val="between"/>
      </c:valAx>
      <c:dateAx>
        <c:axId val="33931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350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7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7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0" i="0" baseline="0">
                <a:effectLst/>
              </a:rPr>
              <a:t>Rotación Involuntaria Mensual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2638087584348851E-2"/>
          <c:y val="0.20441895627436249"/>
          <c:w val="0.90290776761315472"/>
          <c:h val="0.47743284771115174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'Captura Info'!$T$47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'Captura Info'!$U$41:$AF$42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TOTAL</c:v>
                  </c:pt>
                </c:lvl>
              </c:multiLvlStrCache>
            </c:multiLvlStrRef>
          </c:cat>
          <c:val>
            <c:numRef>
              <c:f>'Captura Info'!$U$47:$AF$47</c:f>
            </c:numRef>
          </c:val>
          <c:extLst>
            <c:ext xmlns:c16="http://schemas.microsoft.com/office/drawing/2014/chart" uri="{C3380CC4-5D6E-409C-BE32-E72D297353CC}">
              <c16:uniqueId val="{00000004-B523-4A38-819F-6EF3750BF26B}"/>
            </c:ext>
          </c:extLst>
        </c:ser>
        <c:ser>
          <c:idx val="5"/>
          <c:order val="5"/>
          <c:tx>
            <c:strRef>
              <c:f>'Captura Info'!$T$48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'Captura Info'!$U$41:$AF$42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TOTAL</c:v>
                  </c:pt>
                </c:lvl>
              </c:multiLvlStrCache>
            </c:multiLvlStrRef>
          </c:cat>
          <c:val>
            <c:numRef>
              <c:f>'Captura Info'!$U$48:$AF$48</c:f>
            </c:numRef>
          </c:val>
          <c:extLst>
            <c:ext xmlns:c16="http://schemas.microsoft.com/office/drawing/2014/chart" uri="{C3380CC4-5D6E-409C-BE32-E72D297353CC}">
              <c16:uniqueId val="{00000005-B523-4A38-819F-6EF3750BF26B}"/>
            </c:ext>
          </c:extLst>
        </c:ser>
        <c:ser>
          <c:idx val="2"/>
          <c:order val="2"/>
          <c:tx>
            <c:strRef>
              <c:f>'Captura Info'!$T$45</c:f>
              <c:strCache>
                <c:ptCount val="1"/>
                <c:pt idx="0">
                  <c:v>Rotación Mensual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'Captura Info'!$U$41:$AF$42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TOTAL</c:v>
                  </c:pt>
                </c:lvl>
              </c:multiLvlStrCache>
            </c:multiLvlStrRef>
          </c:cat>
          <c:val>
            <c:numRef>
              <c:f>'Captura Info'!$U$45:$AF$45</c:f>
              <c:numCache>
                <c:formatCode>0.0%</c:formatCode>
                <c:ptCount val="12"/>
                <c:pt idx="0">
                  <c:v>1.0917030567685589E-2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523-4A38-819F-6EF3750BF26B}"/>
            </c:ext>
          </c:extLst>
        </c:ser>
        <c:ser>
          <c:idx val="6"/>
          <c:order val="6"/>
          <c:tx>
            <c:strRef>
              <c:f>'Captura Info'!$T$49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'Captura Info'!$U$41:$AF$42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TOTAL</c:v>
                  </c:pt>
                </c:lvl>
              </c:multiLvlStrCache>
            </c:multiLvlStrRef>
          </c:cat>
          <c:val>
            <c:numRef>
              <c:f>'Captura Info'!$U$49:$AF$49</c:f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B523-4A38-819F-6EF3750BF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526336"/>
        <c:axId val="15733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'Captura Info'!$T$43</c15:sqref>
                        </c15:formulaRef>
                      </c:ext>
                    </c:extLst>
                    <c:strCache>
                      <c:ptCount val="1"/>
                      <c:pt idx="0">
                        <c:v>Bajas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'Captura Info'!$U$41:$AF$42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TOTAL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'Captura Info'!$U$43:$AF$43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523-4A38-819F-6EF3750BF26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Info'!$T$44</c15:sqref>
                        </c15:formulaRef>
                      </c:ext>
                    </c:extLst>
                    <c:strCache>
                      <c:ptCount val="1"/>
                      <c:pt idx="0">
                        <c:v>Plantilla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Info'!$U$41:$AF$42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TOTAL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Info'!$U$44:$AF$44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458</c:v>
                      </c:pt>
                      <c:pt idx="1">
                        <c:v>250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523-4A38-819F-6EF3750BF26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Info'!$T$46</c15:sqref>
                        </c15:formulaRef>
                      </c:ext>
                    </c:extLst>
                    <c:strCache>
                      <c:ptCount val="1"/>
                      <c:pt idx="0">
                        <c:v>Rotación Anual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Info'!$U$41:$AF$42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TOTAL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Info'!$U$46:$AF$46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0.13100436681222707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523-4A38-819F-6EF3750BF26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Info'!$T$50</c15:sqref>
                        </c15:formulaRef>
                      </c:ext>
                    </c:extLst>
                    <c:strCache>
                      <c:ptCount val="1"/>
                      <c:pt idx="0">
                        <c:v>Meta Anual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Info'!$U$41:$AF$42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INVOLUNTARY TOTAL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Info'!$U$50:$AF$50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523-4A38-819F-6EF3750BF26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'Captura Info'!$T$51</c:f>
              <c:strCache>
                <c:ptCount val="1"/>
                <c:pt idx="0">
                  <c:v>Meta Mensual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'Captura Info'!$U$41:$AF$42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INVOLUNTARY TOTAL</c:v>
                  </c:pt>
                </c:lvl>
              </c:multiLvlStrCache>
            </c:multiLvlStrRef>
          </c:cat>
          <c:val>
            <c:numRef>
              <c:f>'Captura Info'!$U$51:$AF$51</c:f>
              <c:numCache>
                <c:formatCode>0.0%</c:formatCode>
                <c:ptCount val="12"/>
                <c:pt idx="0">
                  <c:v>5.8333333333333336E-3</c:v>
                </c:pt>
                <c:pt idx="1">
                  <c:v>5.8333333333333336E-3</c:v>
                </c:pt>
                <c:pt idx="2">
                  <c:v>5.8333333333333336E-3</c:v>
                </c:pt>
                <c:pt idx="3">
                  <c:v>5.8333333333333336E-3</c:v>
                </c:pt>
                <c:pt idx="4">
                  <c:v>5.8333333333333336E-3</c:v>
                </c:pt>
                <c:pt idx="5">
                  <c:v>5.8333333333333336E-3</c:v>
                </c:pt>
                <c:pt idx="6">
                  <c:v>5.8333333333333336E-3</c:v>
                </c:pt>
                <c:pt idx="7">
                  <c:v>5.8333333333333336E-3</c:v>
                </c:pt>
                <c:pt idx="8">
                  <c:v>5.8333333333333336E-3</c:v>
                </c:pt>
                <c:pt idx="9">
                  <c:v>5.8333333333333336E-3</c:v>
                </c:pt>
                <c:pt idx="10">
                  <c:v>5.8333333333333336E-3</c:v>
                </c:pt>
                <c:pt idx="11">
                  <c:v>5.8333333333333336E-3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23-4A38-819F-6EF3750BF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526336"/>
        <c:axId val="1573312"/>
      </c:lineChart>
      <c:catAx>
        <c:axId val="7595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3312"/>
        <c:crosses val="autoZero"/>
        <c:auto val="1"/>
        <c:lblAlgn val="ctr"/>
        <c:lblOffset val="100"/>
        <c:noMultiLvlLbl val="0"/>
      </c:catAx>
      <c:valAx>
        <c:axId val="1573312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952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0" i="0" baseline="0">
                <a:effectLst/>
              </a:rPr>
              <a:t>Rotación Total Mensual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'Captura Info'!$AJ$49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'Captura Info'!$AK$41:$AV$42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ROTACION TOTAL</c:v>
                  </c:pt>
                </c:lvl>
              </c:multiLvlStrCache>
            </c:multiLvlStrRef>
          </c:cat>
          <c:val>
            <c:numRef>
              <c:f>'Captura Info'!$AK$49:$AV$49</c:f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F7B6-4065-BE3F-DF0D726A0AE5}"/>
            </c:ext>
          </c:extLst>
        </c:ser>
        <c:ser>
          <c:idx val="2"/>
          <c:order val="2"/>
          <c:tx>
            <c:strRef>
              <c:f>'Captura Info'!$AJ$45</c:f>
              <c:strCache>
                <c:ptCount val="1"/>
                <c:pt idx="0">
                  <c:v>Rotación Mensual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'Captura Info'!$AK$41:$AV$42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ROTACION TOTAL</c:v>
                  </c:pt>
                </c:lvl>
              </c:multiLvlStrCache>
            </c:multiLvlStrRef>
          </c:cat>
          <c:val>
            <c:numRef>
              <c:f>'Captura Info'!$AK$45:$AV$45</c:f>
              <c:numCache>
                <c:formatCode>0.00%</c:formatCode>
                <c:ptCount val="12"/>
                <c:pt idx="0">
                  <c:v>1.7467248908296942E-2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F7B6-4065-BE3F-DF0D726A0AE5}"/>
            </c:ext>
          </c:extLst>
        </c:ser>
        <c:ser>
          <c:idx val="4"/>
          <c:order val="4"/>
          <c:tx>
            <c:strRef>
              <c:f>'Captura Info'!$AJ$47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'Captura Info'!$AK$41:$AV$42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ROTACION TOTAL</c:v>
                  </c:pt>
                </c:lvl>
              </c:multiLvlStrCache>
            </c:multiLvlStrRef>
          </c:cat>
          <c:val>
            <c:numRef>
              <c:f>'Captura Info'!$AK$47:$AV$47</c:f>
            </c:numRef>
          </c:val>
          <c:extLst>
            <c:ext xmlns:c16="http://schemas.microsoft.com/office/drawing/2014/chart" uri="{C3380CC4-5D6E-409C-BE32-E72D297353CC}">
              <c16:uniqueId val="{00000005-F7B6-4065-BE3F-DF0D726A0AE5}"/>
            </c:ext>
          </c:extLst>
        </c:ser>
        <c:ser>
          <c:idx val="5"/>
          <c:order val="5"/>
          <c:tx>
            <c:strRef>
              <c:f>'Captura Info'!$AJ$48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'Captura Info'!$AK$41:$AV$42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ROTACION TOTAL</c:v>
                  </c:pt>
                </c:lvl>
              </c:multiLvlStrCache>
            </c:multiLvlStrRef>
          </c:cat>
          <c:val>
            <c:numRef>
              <c:f>'Captura Info'!$AK$48:$AV$48</c:f>
            </c:numRef>
          </c:val>
          <c:extLst>
            <c:ext xmlns:c16="http://schemas.microsoft.com/office/drawing/2014/chart" uri="{C3380CC4-5D6E-409C-BE32-E72D297353CC}">
              <c16:uniqueId val="{00000006-F7B6-4065-BE3F-DF0D726A0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00265280"/>
        <c:axId val="1569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'Captura Info'!$AJ$43</c15:sqref>
                        </c15:formulaRef>
                      </c:ext>
                    </c:extLst>
                    <c:strCache>
                      <c:ptCount val="1"/>
                      <c:pt idx="0">
                        <c:v>Bajas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'Captura Info'!$AK$41:$AV$42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ROTACION TOTAL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'Captura Info'!$AK$43:$AV$43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7B6-4065-BE3F-DF0D726A0AE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Info'!$AJ$44</c15:sqref>
                        </c15:formulaRef>
                      </c:ext>
                    </c:extLst>
                    <c:strCache>
                      <c:ptCount val="1"/>
                      <c:pt idx="0">
                        <c:v>Plantilla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Info'!$AK$41:$AV$42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ROTACION TOTAL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Info'!$AK$44:$AV$44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458</c:v>
                      </c:pt>
                      <c:pt idx="1">
                        <c:v>250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7B6-4065-BE3F-DF0D726A0AE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Info'!$AJ$46</c15:sqref>
                        </c15:formulaRef>
                      </c:ext>
                    </c:extLst>
                    <c:strCache>
                      <c:ptCount val="1"/>
                      <c:pt idx="0">
                        <c:v>Rotación Anual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Info'!$AK$41:$AV$42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ROTACION TOTAL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Info'!$AK$46:$AV$46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0.20960698689956331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7B6-4065-BE3F-DF0D726A0AE5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Info'!$AJ$50</c15:sqref>
                        </c15:formulaRef>
                      </c:ext>
                    </c:extLst>
                    <c:strCache>
                      <c:ptCount val="1"/>
                      <c:pt idx="0">
                        <c:v>Meta Anual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Info'!$AK$41:$AV$42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ROTACION TOTAL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Info'!$AK$50:$AV$50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0.11000000000000001</c:v>
                      </c:pt>
                      <c:pt idx="1">
                        <c:v>0.11000000000000001</c:v>
                      </c:pt>
                      <c:pt idx="2">
                        <c:v>0.11000000000000001</c:v>
                      </c:pt>
                      <c:pt idx="3">
                        <c:v>0.11000000000000001</c:v>
                      </c:pt>
                      <c:pt idx="4">
                        <c:v>0.11000000000000001</c:v>
                      </c:pt>
                      <c:pt idx="5">
                        <c:v>0.11000000000000001</c:v>
                      </c:pt>
                      <c:pt idx="6">
                        <c:v>0.11000000000000001</c:v>
                      </c:pt>
                      <c:pt idx="7">
                        <c:v>0.11000000000000001</c:v>
                      </c:pt>
                      <c:pt idx="8">
                        <c:v>0.11000000000000001</c:v>
                      </c:pt>
                      <c:pt idx="9">
                        <c:v>0.11000000000000001</c:v>
                      </c:pt>
                      <c:pt idx="10">
                        <c:v>0.11000000000000001</c:v>
                      </c:pt>
                      <c:pt idx="11">
                        <c:v>0.11000000000000001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7B6-4065-BE3F-DF0D726A0AE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'Captura Info'!$AJ$51</c:f>
              <c:strCache>
                <c:ptCount val="1"/>
                <c:pt idx="0">
                  <c:v>Meta Mensual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'Captura Info'!$AK$41:$AV$42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ROTACION TOTAL</c:v>
                  </c:pt>
                </c:lvl>
              </c:multiLvlStrCache>
            </c:multiLvlStrRef>
          </c:cat>
          <c:val>
            <c:numRef>
              <c:f>'Captura Info'!$AK$51:$AV$51</c:f>
              <c:numCache>
                <c:formatCode>0.0%</c:formatCode>
                <c:ptCount val="12"/>
                <c:pt idx="0">
                  <c:v>9.1666666666666667E-3</c:v>
                </c:pt>
                <c:pt idx="1">
                  <c:v>9.1666666666666667E-3</c:v>
                </c:pt>
                <c:pt idx="2">
                  <c:v>9.1666666666666667E-3</c:v>
                </c:pt>
                <c:pt idx="3">
                  <c:v>9.1666666666666667E-3</c:v>
                </c:pt>
                <c:pt idx="4">
                  <c:v>9.1666666666666667E-3</c:v>
                </c:pt>
                <c:pt idx="5">
                  <c:v>9.1666666666666667E-3</c:v>
                </c:pt>
                <c:pt idx="6">
                  <c:v>9.1666666666666667E-3</c:v>
                </c:pt>
                <c:pt idx="7">
                  <c:v>9.1666666666666667E-3</c:v>
                </c:pt>
                <c:pt idx="8">
                  <c:v>9.1666666666666667E-3</c:v>
                </c:pt>
                <c:pt idx="9">
                  <c:v>9.1666666666666667E-3</c:v>
                </c:pt>
                <c:pt idx="10">
                  <c:v>9.1666666666666667E-3</c:v>
                </c:pt>
                <c:pt idx="11">
                  <c:v>9.1666666666666667E-3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7B6-4065-BE3F-DF0D726A0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265280"/>
        <c:axId val="1569568"/>
      </c:lineChart>
      <c:catAx>
        <c:axId val="80026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69568"/>
        <c:crosses val="autoZero"/>
        <c:auto val="1"/>
        <c:lblAlgn val="ctr"/>
        <c:lblOffset val="100"/>
        <c:noMultiLvlLbl val="0"/>
      </c:catAx>
      <c:valAx>
        <c:axId val="1569568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026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0" i="0" baseline="0">
                <a:effectLst/>
              </a:rPr>
              <a:t>Rotación Voluntaria Mensual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873604861723534E-2"/>
          <c:y val="0.20427323418979898"/>
          <c:w val="0.90812345661016436"/>
          <c:h val="0.56479037168030433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'Captura Info'!$E$47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'Captura Info'!$F$41:$Q$42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TOTAL</c:v>
                  </c:pt>
                </c:lvl>
              </c:multiLvlStrCache>
            </c:multiLvlStrRef>
          </c:cat>
          <c:val>
            <c:numRef>
              <c:f>'Captura Info'!$F$47:$Q$47</c:f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A2BF-4DBB-8448-045669F50E5C}"/>
            </c:ext>
          </c:extLst>
        </c:ser>
        <c:ser>
          <c:idx val="5"/>
          <c:order val="5"/>
          <c:tx>
            <c:strRef>
              <c:f>'Captura Info'!$E$48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'Captura Info'!$F$41:$Q$42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TOTAL</c:v>
                  </c:pt>
                </c:lvl>
              </c:multiLvlStrCache>
            </c:multiLvlStrRef>
          </c:cat>
          <c:val>
            <c:numRef>
              <c:f>'Captura Info'!$F$48:$Q$48</c:f>
            </c:numRef>
          </c:val>
          <c:extLst>
            <c:ext xmlns:c16="http://schemas.microsoft.com/office/drawing/2014/chart" uri="{C3380CC4-5D6E-409C-BE32-E72D297353CC}">
              <c16:uniqueId val="{00000005-A2BF-4DBB-8448-045669F50E5C}"/>
            </c:ext>
          </c:extLst>
        </c:ser>
        <c:ser>
          <c:idx val="2"/>
          <c:order val="2"/>
          <c:tx>
            <c:strRef>
              <c:f>'Captura Info'!$E$45</c:f>
              <c:strCache>
                <c:ptCount val="1"/>
                <c:pt idx="0">
                  <c:v>Rotación Mensual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'Captura Info'!$F$41:$Q$42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TOTAL</c:v>
                  </c:pt>
                </c:lvl>
              </c:multiLvlStrCache>
            </c:multiLvlStrRef>
          </c:cat>
          <c:val>
            <c:numRef>
              <c:f>'Captura Info'!$F$45:$Q$45</c:f>
              <c:numCache>
                <c:formatCode>0.0%</c:formatCode>
                <c:ptCount val="12"/>
                <c:pt idx="0">
                  <c:v>6.5502183406113534E-3</c:v>
                </c:pt>
                <c:pt idx="1">
                  <c:v>2.8248587570621469E-2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A2BF-4DBB-8448-045669F50E5C}"/>
            </c:ext>
          </c:extLst>
        </c:ser>
        <c:ser>
          <c:idx val="6"/>
          <c:order val="6"/>
          <c:tx>
            <c:strRef>
              <c:f>'Captura Info'!$E$49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'Captura Info'!$F$41:$Q$42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TOTAL</c:v>
                  </c:pt>
                </c:lvl>
              </c:multiLvlStrCache>
            </c:multiLvlStrRef>
          </c:cat>
          <c:val>
            <c:numRef>
              <c:f>'Captura Info'!$F$49:$Q$49</c:f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A2BF-4DBB-8448-045669F50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11151296"/>
        <c:axId val="14915976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'Captura Info'!$E$43</c15:sqref>
                        </c15:formulaRef>
                      </c:ext>
                    </c:extLst>
                    <c:strCache>
                      <c:ptCount val="1"/>
                      <c:pt idx="0">
                        <c:v>Bajas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'Captura Info'!$F$41:$Q$42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TOTAL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'Captura Info'!$F$43:$Q$43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</c:v>
                      </c:pt>
                      <c:pt idx="1">
                        <c:v>10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2BF-4DBB-8448-045669F50E5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Info'!$E$44</c15:sqref>
                        </c15:formulaRef>
                      </c:ext>
                    </c:extLst>
                    <c:strCache>
                      <c:ptCount val="1"/>
                      <c:pt idx="0">
                        <c:v>Plantilla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Info'!$F$41:$Q$42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TOTAL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Info'!$F$44:$Q$44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458</c:v>
                      </c:pt>
                      <c:pt idx="1">
                        <c:v>250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2BF-4DBB-8448-045669F50E5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Info'!$E$46</c15:sqref>
                        </c15:formulaRef>
                      </c:ext>
                    </c:extLst>
                    <c:strCache>
                      <c:ptCount val="1"/>
                      <c:pt idx="0">
                        <c:v>Rotación Anual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Info'!$F$41:$Q$42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TOTAL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Info'!$F$46:$Q$46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7.8602620087336234E-2</c:v>
                      </c:pt>
                      <c:pt idx="1">
                        <c:v>0.20879283546739691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2BF-4DBB-8448-045669F50E5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Info'!$E$50</c15:sqref>
                        </c15:formulaRef>
                      </c:ext>
                    </c:extLst>
                    <c:strCache>
                      <c:ptCount val="1"/>
                      <c:pt idx="0">
                        <c:v>Meta Anual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Info'!$F$41:$Q$42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TOTAL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Info'!$F$50:$Q$50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0.04</c:v>
                      </c:pt>
                      <c:pt idx="1">
                        <c:v>0.04</c:v>
                      </c:pt>
                      <c:pt idx="2">
                        <c:v>0.04</c:v>
                      </c:pt>
                      <c:pt idx="3">
                        <c:v>0.04</c:v>
                      </c:pt>
                      <c:pt idx="4">
                        <c:v>0.04</c:v>
                      </c:pt>
                      <c:pt idx="5">
                        <c:v>0.04</c:v>
                      </c:pt>
                      <c:pt idx="6">
                        <c:v>0.04</c:v>
                      </c:pt>
                      <c:pt idx="7">
                        <c:v>0.04</c:v>
                      </c:pt>
                      <c:pt idx="8">
                        <c:v>0.04</c:v>
                      </c:pt>
                      <c:pt idx="9">
                        <c:v>0.04</c:v>
                      </c:pt>
                      <c:pt idx="10">
                        <c:v>0.04</c:v>
                      </c:pt>
                      <c:pt idx="11">
                        <c:v>0.04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2BF-4DBB-8448-045669F50E5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'Captura Info'!$E$51</c:f>
              <c:strCache>
                <c:ptCount val="1"/>
                <c:pt idx="0">
                  <c:v>Meta Mensual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'Captura Info'!$F$41:$Q$42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TOTAL</c:v>
                  </c:pt>
                </c:lvl>
              </c:multiLvlStrCache>
            </c:multiLvlStrRef>
          </c:cat>
          <c:val>
            <c:numRef>
              <c:f>'Captura Info'!$F$51:$Q$51</c:f>
              <c:numCache>
                <c:formatCode>0.0%</c:formatCode>
                <c:ptCount val="12"/>
                <c:pt idx="0">
                  <c:v>3.3333333333333335E-3</c:v>
                </c:pt>
                <c:pt idx="1">
                  <c:v>3.3333333333333335E-3</c:v>
                </c:pt>
                <c:pt idx="2">
                  <c:v>3.3333333333333335E-3</c:v>
                </c:pt>
                <c:pt idx="3">
                  <c:v>3.3333333333333335E-3</c:v>
                </c:pt>
                <c:pt idx="4">
                  <c:v>3.3333333333333335E-3</c:v>
                </c:pt>
                <c:pt idx="5">
                  <c:v>3.3333333333333335E-3</c:v>
                </c:pt>
                <c:pt idx="6">
                  <c:v>3.3333333333333335E-3</c:v>
                </c:pt>
                <c:pt idx="7">
                  <c:v>3.3333333333333335E-3</c:v>
                </c:pt>
                <c:pt idx="8">
                  <c:v>3.3333333333333335E-3</c:v>
                </c:pt>
                <c:pt idx="9">
                  <c:v>3.3333333333333335E-3</c:v>
                </c:pt>
                <c:pt idx="10">
                  <c:v>3.3333333333333335E-3</c:v>
                </c:pt>
                <c:pt idx="11">
                  <c:v>3.3333333333333335E-3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BF-4DBB-8448-045669F50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151296"/>
        <c:axId val="1491597600"/>
      </c:lineChart>
      <c:catAx>
        <c:axId val="1511151296"/>
        <c:scaling>
          <c:orientation val="minMax"/>
        </c:scaling>
        <c:delete val="0"/>
        <c:axPos val="b"/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1597600"/>
        <c:crosses val="autoZero"/>
        <c:auto val="1"/>
        <c:lblAlgn val="ctr"/>
        <c:lblOffset val="100"/>
        <c:noMultiLvlLbl val="0"/>
      </c:catAx>
      <c:valAx>
        <c:axId val="1491597600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15129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4988058450396"/>
          <c:y val="0.9081022205629411"/>
          <c:w val="0.57286738061525555"/>
          <c:h val="8.412767886758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MX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MX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Voluntaria Hourly Mensual</a:t>
            </a:r>
          </a:p>
        </c:rich>
      </c:tx>
      <c:layout>
        <c:manualLayout>
          <c:xMode val="edge"/>
          <c:yMode val="edge"/>
          <c:x val="0.29379959693021152"/>
          <c:y val="2.00398371464961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MX"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0565089437512647E-2"/>
          <c:y val="0.13091476742941868"/>
          <c:w val="0.9044188172900921"/>
          <c:h val="0.49164526681035142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'Captura Info'!$E$10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'Captura Info'!$F$4:$Q$5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HOURLY</c:v>
                  </c:pt>
                </c:lvl>
              </c:multiLvlStrCache>
            </c:multiLvlStrRef>
          </c:cat>
          <c:val>
            <c:numRef>
              <c:f>'Captura Info'!$F$10:$Q$10</c:f>
            </c:numRef>
          </c:val>
          <c:extLst>
            <c:ext xmlns:c16="http://schemas.microsoft.com/office/drawing/2014/chart" uri="{C3380CC4-5D6E-409C-BE32-E72D297353CC}">
              <c16:uniqueId val="{00000004-B4F5-424F-8502-30604FCC5BC3}"/>
            </c:ext>
          </c:extLst>
        </c:ser>
        <c:ser>
          <c:idx val="2"/>
          <c:order val="2"/>
          <c:tx>
            <c:strRef>
              <c:f>'Captura Info'!$E$8</c:f>
              <c:strCache>
                <c:ptCount val="1"/>
                <c:pt idx="0">
                  <c:v>Rot Mens Hourly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'Captura Info'!$F$4:$Q$5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HOURLY</c:v>
                  </c:pt>
                </c:lvl>
              </c:multiLvlStrCache>
            </c:multiLvlStrRef>
          </c:cat>
          <c:val>
            <c:numRef>
              <c:f>'Captura Info'!$F$8:$Q$8</c:f>
              <c:numCache>
                <c:formatCode>0.0%</c:formatCode>
                <c:ptCount val="12"/>
                <c:pt idx="0">
                  <c:v>7.556675062972292E-3</c:v>
                </c:pt>
                <c:pt idx="1">
                  <c:v>2.0330368487928845E-2</c:v>
                </c:pt>
                <c:pt idx="2">
                  <c:v>2.5412960609911056E-3</c:v>
                </c:pt>
                <c:pt idx="3">
                  <c:v>1.5228426395939087E-2</c:v>
                </c:pt>
                <c:pt idx="4">
                  <c:v>1.540436456996149E-2</c:v>
                </c:pt>
                <c:pt idx="5">
                  <c:v>1.7879948914431672E-2</c:v>
                </c:pt>
                <c:pt idx="6">
                  <c:v>2.038216560509554E-2</c:v>
                </c:pt>
                <c:pt idx="7">
                  <c:v>2.0434227330779056E-2</c:v>
                </c:pt>
                <c:pt idx="8">
                  <c:v>1.0126582278481013E-2</c:v>
                </c:pt>
                <c:pt idx="9">
                  <c:v>1.0101010101010102E-2</c:v>
                </c:pt>
                <c:pt idx="10">
                  <c:v>1.0178117048346057E-2</c:v>
                </c:pt>
                <c:pt idx="11">
                  <c:v>7.6142131979695434E-3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B4F5-424F-8502-30604FCC5BC3}"/>
            </c:ext>
          </c:extLst>
        </c:ser>
        <c:ser>
          <c:idx val="5"/>
          <c:order val="5"/>
          <c:tx>
            <c:strRef>
              <c:f>'Captura Info'!$E$11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'Captura Info'!$F$4:$Q$5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HOURLY</c:v>
                  </c:pt>
                </c:lvl>
              </c:multiLvlStrCache>
            </c:multiLvlStrRef>
          </c:cat>
          <c:val>
            <c:numRef>
              <c:f>'Captura Info'!$F$11:$Q$11</c:f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B4F5-424F-8502-30604FCC5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11168496"/>
        <c:axId val="1491577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'Captura Info'!$E$6</c15:sqref>
                        </c15:formulaRef>
                      </c:ext>
                    </c:extLst>
                    <c:strCache>
                      <c:ptCount val="1"/>
                      <c:pt idx="0">
                        <c:v>Bajas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'Captura Info'!$F$4:$Q$5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HOURLY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'Captura Info'!$F$6:$Q$6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</c:v>
                      </c:pt>
                      <c:pt idx="1">
                        <c:v>8</c:v>
                      </c:pt>
                      <c:pt idx="2">
                        <c:v>1</c:v>
                      </c:pt>
                      <c:pt idx="3">
                        <c:v>6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8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4F5-424F-8502-30604FCC5BC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Info'!$E$7</c15:sqref>
                        </c15:formulaRef>
                      </c:ext>
                    </c:extLst>
                    <c:strCache>
                      <c:ptCount val="1"/>
                      <c:pt idx="0">
                        <c:v>Plantilla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Info'!$F$4:$Q$5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HOURLY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Info'!$F$7:$Q$7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397</c:v>
                      </c:pt>
                      <c:pt idx="1">
                        <c:v>390</c:v>
                      </c:pt>
                      <c:pt idx="2">
                        <c:v>397</c:v>
                      </c:pt>
                      <c:pt idx="3">
                        <c:v>391</c:v>
                      </c:pt>
                      <c:pt idx="4">
                        <c:v>388</c:v>
                      </c:pt>
                      <c:pt idx="5">
                        <c:v>395</c:v>
                      </c:pt>
                      <c:pt idx="6">
                        <c:v>390</c:v>
                      </c:pt>
                      <c:pt idx="7">
                        <c:v>393</c:v>
                      </c:pt>
                      <c:pt idx="8">
                        <c:v>397</c:v>
                      </c:pt>
                      <c:pt idx="9">
                        <c:v>395</c:v>
                      </c:pt>
                      <c:pt idx="10">
                        <c:v>391</c:v>
                      </c:pt>
                      <c:pt idx="11">
                        <c:v>397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4F5-424F-8502-30604FCC5BC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Info'!$E$9</c15:sqref>
                        </c15:formulaRef>
                      </c:ext>
                    </c:extLst>
                    <c:strCache>
                      <c:ptCount val="1"/>
                      <c:pt idx="0">
                        <c:v>Rot Anual Hourly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Info'!$F$4:$Q$5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HOURLY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Info'!$F$9:$Q$9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9.06801007556675E-2</c:v>
                      </c:pt>
                      <c:pt idx="1">
                        <c:v>0.16732226130540684</c:v>
                      </c:pt>
                      <c:pt idx="2">
                        <c:v>0.12171335844756898</c:v>
                      </c:pt>
                      <c:pt idx="3">
                        <c:v>0.136970298023494</c:v>
                      </c:pt>
                      <c:pt idx="4">
                        <c:v>0.14654671338670278</c:v>
                      </c:pt>
                      <c:pt idx="5">
                        <c:v>0.15788215898444899</c:v>
                      </c:pt>
                      <c:pt idx="6">
                        <c:v>0.17026842016683436</c:v>
                      </c:pt>
                      <c:pt idx="7">
                        <c:v>0.17963620864214863</c:v>
                      </c:pt>
                      <c:pt idx="8">
                        <c:v>0.17317873960877347</c:v>
                      </c:pt>
                      <c:pt idx="9">
                        <c:v>0.16798207776910823</c:v>
                      </c:pt>
                      <c:pt idx="10">
                        <c:v>0.16381438020647593</c:v>
                      </c:pt>
                      <c:pt idx="11">
                        <c:v>0.15777739505390581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4F5-424F-8502-30604FCC5BC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Info'!$E$12</c15:sqref>
                        </c15:formulaRef>
                      </c:ext>
                    </c:extLst>
                    <c:strCache>
                      <c:ptCount val="1"/>
                      <c:pt idx="0">
                        <c:v>Meta Anual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Info'!$F$4:$Q$5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oct-21</c:v>
                        </c:pt>
                        <c:pt idx="1">
                          <c:v>nov-21</c:v>
                        </c:pt>
                        <c:pt idx="2">
                          <c:v>dic-21</c:v>
                        </c:pt>
                        <c:pt idx="3">
                          <c:v>ene-22</c:v>
                        </c:pt>
                        <c:pt idx="4">
                          <c:v>feb-22</c:v>
                        </c:pt>
                        <c:pt idx="5">
                          <c:v>mar-22</c:v>
                        </c:pt>
                        <c:pt idx="6">
                          <c:v>abr-22</c:v>
                        </c:pt>
                        <c:pt idx="7">
                          <c:v>may-22</c:v>
                        </c:pt>
                        <c:pt idx="8">
                          <c:v>jun-22</c:v>
                        </c:pt>
                        <c:pt idx="9">
                          <c:v>jul-22</c:v>
                        </c:pt>
                        <c:pt idx="10">
                          <c:v>ago-22</c:v>
                        </c:pt>
                        <c:pt idx="11">
                          <c:v>sep-22</c:v>
                        </c:pt>
                      </c:lvl>
                      <c:lvl>
                        <c:pt idx="0">
                          <c:v>VOLUNTARY HOURLY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'Captura Info'!$F$12:$Q$12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0.04</c:v>
                      </c:pt>
                      <c:pt idx="1">
                        <c:v>0.04</c:v>
                      </c:pt>
                      <c:pt idx="2">
                        <c:v>0.04</c:v>
                      </c:pt>
                      <c:pt idx="3">
                        <c:v>0.04</c:v>
                      </c:pt>
                      <c:pt idx="4">
                        <c:v>0.04</c:v>
                      </c:pt>
                      <c:pt idx="5">
                        <c:v>0.04</c:v>
                      </c:pt>
                      <c:pt idx="6">
                        <c:v>0.04</c:v>
                      </c:pt>
                      <c:pt idx="7">
                        <c:v>0.04</c:v>
                      </c:pt>
                      <c:pt idx="8">
                        <c:v>0.04</c:v>
                      </c:pt>
                      <c:pt idx="9">
                        <c:v>0.04</c:v>
                      </c:pt>
                      <c:pt idx="10">
                        <c:v>0.04</c:v>
                      </c:pt>
                      <c:pt idx="11">
                        <c:v>0.04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4F5-424F-8502-30604FCC5BC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'Captura Info'!$E$13</c:f>
              <c:strCache>
                <c:ptCount val="1"/>
                <c:pt idx="0">
                  <c:v>Meta Mensual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'Captura Info'!$F$4:$Q$5</c:f>
              <c:multiLvlStrCache>
                <c:ptCount val="12"/>
                <c:lvl>
                  <c:pt idx="0">
                    <c:v>oct-21</c:v>
                  </c:pt>
                  <c:pt idx="1">
                    <c:v>nov-21</c:v>
                  </c:pt>
                  <c:pt idx="2">
                    <c:v>dic-21</c:v>
                  </c:pt>
                  <c:pt idx="3">
                    <c:v>ene-22</c:v>
                  </c:pt>
                  <c:pt idx="4">
                    <c:v>feb-22</c:v>
                  </c:pt>
                  <c:pt idx="5">
                    <c:v>mar-22</c:v>
                  </c:pt>
                  <c:pt idx="6">
                    <c:v>abr-22</c:v>
                  </c:pt>
                  <c:pt idx="7">
                    <c:v>may-22</c:v>
                  </c:pt>
                  <c:pt idx="8">
                    <c:v>jun-22</c:v>
                  </c:pt>
                  <c:pt idx="9">
                    <c:v>jul-22</c:v>
                  </c:pt>
                  <c:pt idx="10">
                    <c:v>ago-22</c:v>
                  </c:pt>
                  <c:pt idx="11">
                    <c:v>sep-22</c:v>
                  </c:pt>
                </c:lvl>
                <c:lvl>
                  <c:pt idx="0">
                    <c:v>VOLUNTARY HOURLY</c:v>
                  </c:pt>
                </c:lvl>
              </c:multiLvlStrCache>
            </c:multiLvlStrRef>
          </c:cat>
          <c:val>
            <c:numRef>
              <c:f>'Captura Info'!$F$13:$Q$13</c:f>
              <c:numCache>
                <c:formatCode>0.0%</c:formatCode>
                <c:ptCount val="12"/>
                <c:pt idx="0">
                  <c:v>3.3333333333333335E-3</c:v>
                </c:pt>
                <c:pt idx="1">
                  <c:v>3.3333333333333335E-3</c:v>
                </c:pt>
                <c:pt idx="2">
                  <c:v>3.3333333333333335E-3</c:v>
                </c:pt>
                <c:pt idx="3">
                  <c:v>3.3333333333333335E-3</c:v>
                </c:pt>
                <c:pt idx="4">
                  <c:v>3.3333333333333335E-3</c:v>
                </c:pt>
                <c:pt idx="5">
                  <c:v>3.3333333333333335E-3</c:v>
                </c:pt>
                <c:pt idx="6">
                  <c:v>3.3333333333333335E-3</c:v>
                </c:pt>
                <c:pt idx="7">
                  <c:v>3.3333333333333335E-3</c:v>
                </c:pt>
                <c:pt idx="8">
                  <c:v>3.3333333333333335E-3</c:v>
                </c:pt>
                <c:pt idx="9">
                  <c:v>3.3333333333333335E-3</c:v>
                </c:pt>
                <c:pt idx="10">
                  <c:v>3.3333333333333335E-3</c:v>
                </c:pt>
                <c:pt idx="11">
                  <c:v>3.3333333333333335E-3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F5-424F-8502-30604FCC5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168496"/>
        <c:axId val="1491577216"/>
      </c:lineChart>
      <c:catAx>
        <c:axId val="151116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1577216"/>
        <c:crosses val="autoZero"/>
        <c:auto val="1"/>
        <c:lblAlgn val="ctr"/>
        <c:lblOffset val="100"/>
        <c:noMultiLvlLbl val="0"/>
      </c:catAx>
      <c:valAx>
        <c:axId val="1491577216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16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603250</xdr:colOff>
      <xdr:row>14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EA1E76-E92B-4EE0-901B-FBBE68714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607784</xdr:colOff>
      <xdr:row>0</xdr:row>
      <xdr:rowOff>19051</xdr:rowOff>
    </xdr:from>
    <xdr:to>
      <xdr:col>19</xdr:col>
      <xdr:colOff>18142</xdr:colOff>
      <xdr:row>14</xdr:row>
      <xdr:rowOff>7257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C2DB55-EB21-4DDB-93D5-913F37FF4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12701</xdr:colOff>
      <xdr:row>0</xdr:row>
      <xdr:rowOff>0</xdr:rowOff>
    </xdr:from>
    <xdr:to>
      <xdr:col>29</xdr:col>
      <xdr:colOff>6350</xdr:colOff>
      <xdr:row>14</xdr:row>
      <xdr:rowOff>12700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A38A16-81FA-44C2-88E4-DA04BDBF8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</xdr:colOff>
      <xdr:row>14</xdr:row>
      <xdr:rowOff>165330</xdr:rowOff>
    </xdr:from>
    <xdr:to>
      <xdr:col>9</xdr:col>
      <xdr:colOff>15874</xdr:colOff>
      <xdr:row>28</xdr:row>
      <xdr:rowOff>157163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6591057-4BD7-4C55-AD93-5E12F1204E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12187</xdr:colOff>
      <xdr:row>15</xdr:row>
      <xdr:rowOff>13405</xdr:rowOff>
    </xdr:from>
    <xdr:to>
      <xdr:col>19</xdr:col>
      <xdr:colOff>6351</xdr:colOff>
      <xdr:row>29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AC5EE43-B314-4786-B8AB-A3C935A6A4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598712</xdr:colOff>
      <xdr:row>0</xdr:row>
      <xdr:rowOff>0</xdr:rowOff>
    </xdr:from>
    <xdr:to>
      <xdr:col>19</xdr:col>
      <xdr:colOff>9070</xdr:colOff>
      <xdr:row>13</xdr:row>
      <xdr:rowOff>172356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6A2F4B-C612-4CD8-A712-072765CD1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18142</xdr:colOff>
      <xdr:row>0</xdr:row>
      <xdr:rowOff>9072</xdr:rowOff>
    </xdr:from>
    <xdr:to>
      <xdr:col>28</xdr:col>
      <xdr:colOff>598714</xdr:colOff>
      <xdr:row>13</xdr:row>
      <xdr:rowOff>172358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D36CF5-0F7E-45DE-8585-8062872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154213</xdr:colOff>
      <xdr:row>0</xdr:row>
      <xdr:rowOff>0</xdr:rowOff>
    </xdr:from>
    <xdr:to>
      <xdr:col>9</xdr:col>
      <xdr:colOff>0</xdr:colOff>
      <xdr:row>13</xdr:row>
      <xdr:rowOff>190046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E5285CF-12B7-480A-B7E1-09FBA5ADF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11206</xdr:colOff>
      <xdr:row>15</xdr:row>
      <xdr:rowOff>8538</xdr:rowOff>
    </xdr:from>
    <xdr:to>
      <xdr:col>8</xdr:col>
      <xdr:colOff>603250</xdr:colOff>
      <xdr:row>29</xdr:row>
      <xdr:rowOff>9071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6EBB4ED-4F0E-4C7F-B540-BA025E549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30</xdr:row>
      <xdr:rowOff>9073</xdr:rowOff>
    </xdr:from>
    <xdr:to>
      <xdr:col>9</xdr:col>
      <xdr:colOff>0</xdr:colOff>
      <xdr:row>43</xdr:row>
      <xdr:rowOff>154215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6383DDA-E6F4-4CC9-A1AA-88D7169B8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13873</xdr:colOff>
      <xdr:row>14</xdr:row>
      <xdr:rowOff>154213</xdr:rowOff>
    </xdr:from>
    <xdr:to>
      <xdr:col>19</xdr:col>
      <xdr:colOff>9072</xdr:colOff>
      <xdr:row>29</xdr:row>
      <xdr:rowOff>-1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8A26372-1895-4F6C-B560-342080384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18143</xdr:colOff>
      <xdr:row>30</xdr:row>
      <xdr:rowOff>18141</xdr:rowOff>
    </xdr:from>
    <xdr:to>
      <xdr:col>19</xdr:col>
      <xdr:colOff>0</xdr:colOff>
      <xdr:row>44</xdr:row>
      <xdr:rowOff>18143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B139683-D35D-422C-BFD9-75EC27D61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E476DF-ECD6-42B0-9E0E-80988730CD3C}" name="Tabla1" displayName="Tabla1" ref="B4:O21" totalsRowCount="1" headerRowDxfId="28" dataDxfId="27" totalsRowDxfId="26">
  <autoFilter ref="B4:O20" xr:uid="{18E476DF-ECD6-42B0-9E0E-80988730CD3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681E883-0E16-4685-ADB6-A4195789D4BC}" name="Concepto / mes" totalsRowLabel="Costo de rotación mensual" dataDxfId="25" totalsRowDxfId="24"/>
    <tableColumn id="2" xr3:uid="{6A3252B6-15C1-4CDB-9463-87E289A8349C}" name="oct-21" totalsRowFunction="custom" dataDxfId="23" totalsRowDxfId="22" dataCellStyle="Moneda">
      <totalsRowFormula>C20*'Captura Info'!F9</totalsRowFormula>
    </tableColumn>
    <tableColumn id="3" xr3:uid="{54ED78AC-A75F-41DB-BE40-56903E626D2F}" name="nov-21" totalsRowFunction="custom" dataDxfId="21" totalsRowDxfId="20" dataCellStyle="Moneda">
      <totalsRowFormula>D20*'Captura Info'!G9</totalsRowFormula>
    </tableColumn>
    <tableColumn id="4" xr3:uid="{0B4031F8-0F1F-4670-8E54-8C5D24B9A3AB}" name="dic-21" totalsRowFunction="custom" dataDxfId="19" totalsRowDxfId="18">
      <totalsRowFormula>E20*'Captura Info'!H9</totalsRowFormula>
    </tableColumn>
    <tableColumn id="5" xr3:uid="{3E7CF6E5-AEE0-423A-89FE-863D964987C9}" name="ene-22" totalsRowFunction="custom" dataDxfId="17" totalsRowDxfId="16">
      <totalsRowFormula>F20*'Captura Info'!I9</totalsRowFormula>
    </tableColumn>
    <tableColumn id="6" xr3:uid="{B802EB1B-6BA1-4AD2-89D6-CF357E85E1F1}" name="feb-22" totalsRowFunction="custom" dataDxfId="15" totalsRowDxfId="14">
      <totalsRowFormula>G20*'Captura Info'!J9</totalsRowFormula>
    </tableColumn>
    <tableColumn id="7" xr3:uid="{DEF310F4-8622-4391-9D0B-797CE893731E}" name="mar-22" totalsRowFunction="custom" dataDxfId="13" totalsRowDxfId="12">
      <totalsRowFormula>H20*'Captura Info'!K9</totalsRowFormula>
    </tableColumn>
    <tableColumn id="8" xr3:uid="{25C9607E-9818-40AD-8530-C2C6ABDBB865}" name="abr-22" totalsRowFunction="custom" dataDxfId="11" totalsRowDxfId="10">
      <totalsRowFormula>I20*'Captura Info'!L9</totalsRowFormula>
    </tableColumn>
    <tableColumn id="9" xr3:uid="{99D46F8A-D2A6-466E-8CFF-51BD37E479A8}" name="may-22" totalsRowFunction="custom" dataDxfId="9" totalsRowDxfId="8">
      <totalsRowFormula>J20*'Captura Info'!M9</totalsRowFormula>
    </tableColumn>
    <tableColumn id="10" xr3:uid="{3BAA42B4-BBDE-410E-953B-AEF3F1296EA8}" name="jun-22" totalsRowFunction="custom" dataDxfId="7" totalsRowDxfId="6">
      <totalsRowFormula>K20*'Captura Info'!N9</totalsRowFormula>
    </tableColumn>
    <tableColumn id="11" xr3:uid="{38E7A8EF-3545-4AAA-8C58-C97A7E3E12C0}" name="jul-22" totalsRowFunction="custom" dataDxfId="5" totalsRowDxfId="4">
      <totalsRowFormula>L20*'Captura Info'!O9</totalsRowFormula>
    </tableColumn>
    <tableColumn id="15" xr3:uid="{D3D15A46-A38D-4FF5-8E1D-B341FA3575AD}" name="ago-22" totalsRowFunction="custom" totalsRowDxfId="3">
      <totalsRowFormula>M20*'Captura Info'!P9</totalsRowFormula>
    </tableColumn>
    <tableColumn id="14" xr3:uid="{46749F0D-93BF-4CA1-AD42-D320947E6EE6}" name="sep-22" totalsRowFunction="custom" totalsRowDxfId="2">
      <totalsRowFormula>N20*'Captura Info'!Q9</totalsRowFormula>
    </tableColumn>
    <tableColumn id="13" xr3:uid="{513E1D8D-94C4-4A48-B97D-05E34CF0BCEE}" name="COSTOS MES" totalsRowFunction="custom" dataDxfId="1" totalsRowDxfId="0">
      <calculatedColumnFormula>SUM(Tabla1[[#This Row],[oct-21]:[jul-22]])</calculatedColumnFormula>
      <totalsRowFormula>O20*'Captura Info'!R9</totalsRow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53C4A-6251-4555-8903-07F7CCE6FD4E}">
  <dimension ref="A1:R34"/>
  <sheetViews>
    <sheetView tabSelected="1" view="pageBreakPreview" zoomScaleNormal="100" zoomScaleSheetLayoutView="100" workbookViewId="0">
      <selection activeCell="C15" sqref="C15"/>
    </sheetView>
  </sheetViews>
  <sheetFormatPr baseColWidth="10" defaultColWidth="8.7109375" defaultRowHeight="15" x14ac:dyDescent="0.25"/>
  <cols>
    <col min="1" max="1" width="11.28515625" customWidth="1"/>
    <col min="4" max="4" width="13.28515625" customWidth="1"/>
    <col min="13" max="13" width="12.5703125" bestFit="1" customWidth="1"/>
    <col min="14" max="14" width="13.5703125" bestFit="1" customWidth="1"/>
    <col min="15" max="15" width="16.28515625" bestFit="1" customWidth="1"/>
    <col min="18" max="18" width="14.7109375" customWidth="1"/>
  </cols>
  <sheetData>
    <row r="1" spans="1:18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61" customFormat="1" ht="15.75" x14ac:dyDescent="0.25">
      <c r="A2" s="70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x14ac:dyDescent="0.25">
      <c r="A3" s="65"/>
      <c r="B3" s="66"/>
      <c r="C3" s="66"/>
      <c r="D3" s="63"/>
      <c r="E3" s="63"/>
      <c r="F3" s="67"/>
      <c r="G3" s="66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x14ac:dyDescent="0.25">
      <c r="A4" s="71"/>
      <c r="B4" s="63"/>
      <c r="C4" s="63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15.75" x14ac:dyDescent="0.25">
      <c r="A6" s="222" t="s">
        <v>21</v>
      </c>
      <c r="B6" s="22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x14ac:dyDescent="0.25">
      <c r="A7" s="63"/>
      <c r="B7" s="63" t="s">
        <v>22</v>
      </c>
      <c r="C7" s="72" t="s">
        <v>41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x14ac:dyDescent="0.25">
      <c r="A8" s="63"/>
      <c r="B8" s="63" t="s">
        <v>23</v>
      </c>
      <c r="C8" s="72" t="s">
        <v>38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x14ac:dyDescent="0.25">
      <c r="A9" s="63"/>
      <c r="B9" s="63" t="s">
        <v>24</v>
      </c>
      <c r="C9" s="72" t="s">
        <v>28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18" x14ac:dyDescent="0.25">
      <c r="A10" s="63"/>
      <c r="B10" s="63" t="s">
        <v>25</v>
      </c>
      <c r="C10" s="72" t="s">
        <v>29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18" x14ac:dyDescent="0.25">
      <c r="A11" s="63"/>
      <c r="B11" s="63" t="s">
        <v>26</v>
      </c>
      <c r="C11" s="72" t="s">
        <v>40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x14ac:dyDescent="0.25">
      <c r="A12" s="63"/>
      <c r="B12" s="63" t="s">
        <v>27</v>
      </c>
      <c r="C12" s="72" t="s">
        <v>30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x14ac:dyDescent="0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18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x14ac:dyDescent="0.25">
      <c r="A15" s="63"/>
      <c r="B15" s="73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3"/>
      <c r="Q15" s="63"/>
      <c r="R15" s="63"/>
    </row>
    <row r="16" spans="1:18" x14ac:dyDescent="0.25">
      <c r="A16" s="63"/>
      <c r="B16" s="73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69"/>
      <c r="R16" s="191"/>
    </row>
    <row r="17" spans="1:18" x14ac:dyDescent="0.25">
      <c r="A17" s="63"/>
      <c r="B17" s="73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3"/>
      <c r="Q17" s="63"/>
      <c r="R17" s="63"/>
    </row>
    <row r="18" spans="1:18" x14ac:dyDescent="0.25">
      <c r="A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x14ac:dyDescent="0.25">
      <c r="A19" s="74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1:18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  <row r="24" spans="1:18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1:18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18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18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18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1:18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="63" customFormat="1" x14ac:dyDescent="0.25"/>
    <row r="34" s="63" customFormat="1" x14ac:dyDescent="0.25"/>
  </sheetData>
  <mergeCells count="1">
    <mergeCell ref="A6:B6"/>
  </mergeCells>
  <pageMargins left="0.7" right="0.7" top="0.75" bottom="0.75" header="0.3" footer="0.3"/>
  <pageSetup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1FAF3-6C99-463C-942B-A6368B2C83AD}">
  <dimension ref="A1:E23"/>
  <sheetViews>
    <sheetView view="pageBreakPreview" zoomScale="145" zoomScaleNormal="100" zoomScaleSheetLayoutView="145" workbookViewId="0">
      <selection activeCell="B10" sqref="B10"/>
    </sheetView>
  </sheetViews>
  <sheetFormatPr baseColWidth="10" defaultColWidth="8.7109375" defaultRowHeight="15" x14ac:dyDescent="0.25"/>
  <cols>
    <col min="1" max="1" width="8.7109375" style="41"/>
    <col min="2" max="2" width="28.7109375" style="42" bestFit="1" customWidth="1"/>
    <col min="3" max="4" width="8.7109375" style="42"/>
    <col min="5" max="5" width="8.7109375" style="41"/>
    <col min="6" max="16384" width="8.7109375" style="42"/>
  </cols>
  <sheetData>
    <row r="1" spans="2:5" s="41" customFormat="1" ht="15.75" thickBot="1" x14ac:dyDescent="0.3"/>
    <row r="2" spans="2:5" ht="15.75" thickBot="1" x14ac:dyDescent="0.3">
      <c r="B2" s="223" t="s">
        <v>39</v>
      </c>
      <c r="C2" s="224"/>
      <c r="D2" s="225"/>
    </row>
    <row r="3" spans="2:5" ht="15.75" thickBot="1" x14ac:dyDescent="0.3">
      <c r="B3" s="46" t="s">
        <v>31</v>
      </c>
      <c r="C3" s="47" t="s">
        <v>17</v>
      </c>
      <c r="D3" s="48" t="s">
        <v>18</v>
      </c>
    </row>
    <row r="4" spans="2:5" x14ac:dyDescent="0.25">
      <c r="B4" s="49" t="s">
        <v>3</v>
      </c>
      <c r="C4" s="86">
        <v>0.04</v>
      </c>
      <c r="D4" s="87">
        <v>0.04</v>
      </c>
    </row>
    <row r="5" spans="2:5" ht="15.75" thickBot="1" x14ac:dyDescent="0.3">
      <c r="B5" s="43" t="s">
        <v>4</v>
      </c>
      <c r="C5" s="88">
        <v>7.0000000000000007E-2</v>
      </c>
      <c r="D5" s="89">
        <v>7.0000000000000007E-2</v>
      </c>
    </row>
    <row r="6" spans="2:5" s="41" customFormat="1" x14ac:dyDescent="0.25">
      <c r="B6" s="45"/>
      <c r="C6" s="45"/>
      <c r="D6" s="45"/>
      <c r="E6" s="44"/>
    </row>
    <row r="7" spans="2:5" s="41" customFormat="1" x14ac:dyDescent="0.25"/>
    <row r="8" spans="2:5" s="41" customFormat="1" x14ac:dyDescent="0.25"/>
    <row r="9" spans="2:5" s="41" customFormat="1" x14ac:dyDescent="0.25"/>
    <row r="10" spans="2:5" s="41" customFormat="1" x14ac:dyDescent="0.25"/>
    <row r="11" spans="2:5" s="41" customFormat="1" x14ac:dyDescent="0.25"/>
    <row r="12" spans="2:5" s="41" customFormat="1" x14ac:dyDescent="0.25"/>
    <row r="13" spans="2:5" s="41" customFormat="1" x14ac:dyDescent="0.25"/>
    <row r="14" spans="2:5" s="41" customFormat="1" x14ac:dyDescent="0.25"/>
    <row r="15" spans="2:5" s="41" customFormat="1" x14ac:dyDescent="0.25"/>
    <row r="16" spans="2:5" s="41" customFormat="1" x14ac:dyDescent="0.25"/>
    <row r="17" s="41" customFormat="1" x14ac:dyDescent="0.25"/>
    <row r="18" s="41" customFormat="1" x14ac:dyDescent="0.25"/>
    <row r="19" s="41" customFormat="1" x14ac:dyDescent="0.25"/>
    <row r="20" s="41" customFormat="1" x14ac:dyDescent="0.25"/>
    <row r="21" s="41" customFormat="1" x14ac:dyDescent="0.25"/>
    <row r="22" s="41" customFormat="1" x14ac:dyDescent="0.25"/>
    <row r="23" s="41" customFormat="1" x14ac:dyDescent="0.25"/>
  </sheetData>
  <sheetProtection algorithmName="SHA-512" hashValue="SXxGivFVOKM61uWJXaO+1l0W1lrSjK5jFCOo9GDTJDvyI72LQ4gFKCGxXShiXQfdwjAq46rTGhP7AU4XOtStDg==" saltValue="s3CnfW2hoyIDqtVEgsKmSw==" spinCount="100000" sheet="1" objects="1" scenarios="1"/>
  <mergeCells count="1">
    <mergeCell ref="B2:D2"/>
  </mergeCells>
  <pageMargins left="0.70866141732283472" right="0.70866141732283472" top="0.74803149606299213" bottom="0.74803149606299213" header="0.31496062992125984" footer="0.31496062992125984"/>
  <pageSetup orientation="portrait" r:id="rId1"/>
  <headerFooter scaleWithDoc="0">
    <oddHeader>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D51E4-8269-4CF1-88ED-62FF1B3A4A22}">
  <dimension ref="A2:AX86"/>
  <sheetViews>
    <sheetView showGridLines="0" topLeftCell="E1" zoomScale="177" zoomScaleNormal="100" workbookViewId="0">
      <selection activeCell="F9" sqref="F9"/>
    </sheetView>
  </sheetViews>
  <sheetFormatPr baseColWidth="10" defaultColWidth="9.140625" defaultRowHeight="12" x14ac:dyDescent="0.2"/>
  <cols>
    <col min="1" max="1" width="8.140625" style="6" hidden="1" customWidth="1"/>
    <col min="2" max="2" width="8.28515625" style="6" bestFit="1" customWidth="1"/>
    <col min="3" max="3" width="8" style="6" bestFit="1" customWidth="1"/>
    <col min="4" max="4" width="1.7109375" style="6" customWidth="1"/>
    <col min="5" max="5" width="13.28515625" style="6" bestFit="1" customWidth="1"/>
    <col min="6" max="17" width="10" style="6" customWidth="1"/>
    <col min="18" max="18" width="10" style="33" customWidth="1"/>
    <col min="19" max="19" width="9.28515625" style="6" bestFit="1" customWidth="1"/>
    <col min="20" max="20" width="19.42578125" style="6" bestFit="1" customWidth="1"/>
    <col min="21" max="29" width="9.28515625" style="6" bestFit="1" customWidth="1"/>
    <col min="30" max="32" width="9.140625" style="6"/>
    <col min="33" max="33" width="9.140625" style="33"/>
    <col min="34" max="35" width="9.140625" style="6"/>
    <col min="36" max="36" width="18.140625" style="6" bestFit="1" customWidth="1"/>
    <col min="37" max="48" width="9.140625" style="6"/>
    <col min="49" max="49" width="9.140625" style="33"/>
    <col min="50" max="16384" width="9.140625" style="6"/>
  </cols>
  <sheetData>
    <row r="2" spans="2:49" s="184" customFormat="1" x14ac:dyDescent="0.2">
      <c r="E2" s="185" t="s">
        <v>15</v>
      </c>
      <c r="F2" s="186">
        <v>1</v>
      </c>
      <c r="G2" s="186">
        <v>2</v>
      </c>
      <c r="H2" s="186">
        <v>3</v>
      </c>
      <c r="I2" s="186">
        <v>4</v>
      </c>
      <c r="J2" s="186">
        <v>5</v>
      </c>
      <c r="K2" s="186">
        <v>6</v>
      </c>
      <c r="L2" s="186">
        <v>7</v>
      </c>
      <c r="M2" s="186">
        <v>8</v>
      </c>
      <c r="N2" s="186">
        <v>9</v>
      </c>
      <c r="O2" s="186">
        <v>10</v>
      </c>
      <c r="P2" s="186">
        <v>11</v>
      </c>
      <c r="Q2" s="186">
        <v>12</v>
      </c>
      <c r="R2" s="173">
        <f>R6/R7</f>
        <v>1.3132810845159923E-2</v>
      </c>
      <c r="AG2" s="187"/>
      <c r="AH2" s="188"/>
      <c r="AW2" s="187"/>
    </row>
    <row r="3" spans="2:49" ht="12.75" thickBot="1" x14ac:dyDescent="0.25">
      <c r="AH3" s="38"/>
    </row>
    <row r="4" spans="2:49" ht="15" customHeight="1" thickBot="1" x14ac:dyDescent="0.25">
      <c r="C4" s="166"/>
      <c r="F4" s="233" t="s">
        <v>5</v>
      </c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163"/>
      <c r="U4" s="235" t="s">
        <v>6</v>
      </c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164"/>
      <c r="AH4" s="38"/>
      <c r="AK4" s="237" t="s">
        <v>13</v>
      </c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165"/>
    </row>
    <row r="5" spans="2:49" ht="12.75" thickBot="1" x14ac:dyDescent="0.25">
      <c r="B5" s="167" t="s">
        <v>9</v>
      </c>
      <c r="C5" s="15">
        <v>44440</v>
      </c>
      <c r="F5" s="10">
        <v>44470</v>
      </c>
      <c r="G5" s="11">
        <v>44501</v>
      </c>
      <c r="H5" s="11">
        <v>44531</v>
      </c>
      <c r="I5" s="11">
        <v>44562</v>
      </c>
      <c r="J5" s="11">
        <v>44593</v>
      </c>
      <c r="K5" s="11">
        <v>44621</v>
      </c>
      <c r="L5" s="11">
        <v>44652</v>
      </c>
      <c r="M5" s="11">
        <v>44682</v>
      </c>
      <c r="N5" s="11">
        <v>44713</v>
      </c>
      <c r="O5" s="11">
        <v>44743</v>
      </c>
      <c r="P5" s="11">
        <v>44774</v>
      </c>
      <c r="Q5" s="11">
        <v>44805</v>
      </c>
      <c r="R5" s="92" t="s">
        <v>2</v>
      </c>
      <c r="U5" s="17">
        <f>F5</f>
        <v>44470</v>
      </c>
      <c r="V5" s="18">
        <f t="shared" ref="V5:AF5" si="0">G5</f>
        <v>44501</v>
      </c>
      <c r="W5" s="18">
        <f t="shared" si="0"/>
        <v>44531</v>
      </c>
      <c r="X5" s="18">
        <f t="shared" si="0"/>
        <v>44562</v>
      </c>
      <c r="Y5" s="18">
        <f t="shared" si="0"/>
        <v>44593</v>
      </c>
      <c r="Z5" s="18">
        <f t="shared" si="0"/>
        <v>44621</v>
      </c>
      <c r="AA5" s="18">
        <f t="shared" si="0"/>
        <v>44652</v>
      </c>
      <c r="AB5" s="18">
        <f t="shared" si="0"/>
        <v>44682</v>
      </c>
      <c r="AC5" s="18">
        <f t="shared" si="0"/>
        <v>44713</v>
      </c>
      <c r="AD5" s="18">
        <f t="shared" si="0"/>
        <v>44743</v>
      </c>
      <c r="AE5" s="18">
        <f t="shared" si="0"/>
        <v>44774</v>
      </c>
      <c r="AF5" s="19">
        <f t="shared" si="0"/>
        <v>44805</v>
      </c>
      <c r="AG5" s="16" t="s">
        <v>2</v>
      </c>
      <c r="AH5" s="38"/>
      <c r="AK5" s="10">
        <v>44470</v>
      </c>
      <c r="AL5" s="11">
        <v>44501</v>
      </c>
      <c r="AM5" s="11">
        <v>44531</v>
      </c>
      <c r="AN5" s="11">
        <v>44562</v>
      </c>
      <c r="AO5" s="11">
        <v>44593</v>
      </c>
      <c r="AP5" s="11">
        <v>44621</v>
      </c>
      <c r="AQ5" s="11">
        <v>44652</v>
      </c>
      <c r="AR5" s="11">
        <v>44682</v>
      </c>
      <c r="AS5" s="11">
        <v>44713</v>
      </c>
      <c r="AT5" s="11">
        <v>44743</v>
      </c>
      <c r="AU5" s="11">
        <v>44774</v>
      </c>
      <c r="AV5" s="11">
        <v>44805</v>
      </c>
      <c r="AW5" s="16" t="s">
        <v>2</v>
      </c>
    </row>
    <row r="6" spans="2:49" ht="12.75" thickBot="1" x14ac:dyDescent="0.25">
      <c r="E6" s="93" t="s">
        <v>0</v>
      </c>
      <c r="F6" s="160">
        <v>3</v>
      </c>
      <c r="G6" s="90">
        <v>8</v>
      </c>
      <c r="H6" s="90">
        <v>1</v>
      </c>
      <c r="I6" s="90">
        <v>6</v>
      </c>
      <c r="J6" s="90">
        <v>6</v>
      </c>
      <c r="K6" s="90">
        <v>7</v>
      </c>
      <c r="L6" s="90">
        <v>8</v>
      </c>
      <c r="M6" s="90">
        <v>8</v>
      </c>
      <c r="N6" s="90">
        <v>4</v>
      </c>
      <c r="O6" s="90">
        <v>4</v>
      </c>
      <c r="P6" s="90">
        <v>4</v>
      </c>
      <c r="Q6" s="90">
        <v>3</v>
      </c>
      <c r="R6" s="25">
        <f>SUM(F6:Q6)</f>
        <v>62</v>
      </c>
      <c r="T6" s="12" t="s">
        <v>0</v>
      </c>
      <c r="U6" s="21">
        <v>5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36">
        <f>SUM(U6:AF6)</f>
        <v>5</v>
      </c>
      <c r="AH6" s="38"/>
      <c r="AJ6" s="12" t="s">
        <v>0</v>
      </c>
      <c r="AK6" s="8">
        <f>U6+F6</f>
        <v>8</v>
      </c>
      <c r="AL6" s="9">
        <f>V6+G6</f>
        <v>8</v>
      </c>
      <c r="AM6" s="9">
        <f t="shared" ref="AM6:AV6" si="1">W6+H6</f>
        <v>1</v>
      </c>
      <c r="AN6" s="9">
        <f t="shared" si="1"/>
        <v>6</v>
      </c>
      <c r="AO6" s="9">
        <f t="shared" si="1"/>
        <v>6</v>
      </c>
      <c r="AP6" s="9">
        <f t="shared" si="1"/>
        <v>7</v>
      </c>
      <c r="AQ6" s="9">
        <f t="shared" si="1"/>
        <v>8</v>
      </c>
      <c r="AR6" s="9">
        <f t="shared" si="1"/>
        <v>8</v>
      </c>
      <c r="AS6" s="9">
        <f t="shared" si="1"/>
        <v>4</v>
      </c>
      <c r="AT6" s="9">
        <f t="shared" si="1"/>
        <v>4</v>
      </c>
      <c r="AU6" s="9">
        <f t="shared" si="1"/>
        <v>4</v>
      </c>
      <c r="AV6" s="9">
        <f t="shared" si="1"/>
        <v>3</v>
      </c>
      <c r="AW6" s="36">
        <f>SUM(AK6:AV6)</f>
        <v>67</v>
      </c>
    </row>
    <row r="7" spans="2:49" ht="12.75" thickBot="1" x14ac:dyDescent="0.25">
      <c r="B7" s="168" t="s">
        <v>1</v>
      </c>
      <c r="C7" s="169">
        <v>397</v>
      </c>
      <c r="E7" s="14" t="s">
        <v>1</v>
      </c>
      <c r="F7" s="28">
        <v>397</v>
      </c>
      <c r="G7" s="29">
        <v>390</v>
      </c>
      <c r="H7" s="29">
        <v>397</v>
      </c>
      <c r="I7" s="29">
        <v>391</v>
      </c>
      <c r="J7" s="29">
        <v>388</v>
      </c>
      <c r="K7" s="29">
        <v>395</v>
      </c>
      <c r="L7" s="29">
        <v>390</v>
      </c>
      <c r="M7" s="29">
        <v>393</v>
      </c>
      <c r="N7" s="29">
        <v>397</v>
      </c>
      <c r="O7" s="29">
        <v>395</v>
      </c>
      <c r="P7" s="29">
        <v>391</v>
      </c>
      <c r="Q7" s="29">
        <v>397</v>
      </c>
      <c r="R7" s="25">
        <f>SUM(F7:Q7)</f>
        <v>4721</v>
      </c>
      <c r="T7" s="13" t="s">
        <v>1</v>
      </c>
      <c r="U7" s="2">
        <f t="shared" ref="U7:AG7" si="2">F7</f>
        <v>397</v>
      </c>
      <c r="V7" s="3">
        <f t="shared" si="2"/>
        <v>390</v>
      </c>
      <c r="W7" s="3">
        <f t="shared" si="2"/>
        <v>397</v>
      </c>
      <c r="X7" s="3">
        <f t="shared" si="2"/>
        <v>391</v>
      </c>
      <c r="Y7" s="3">
        <f t="shared" si="2"/>
        <v>388</v>
      </c>
      <c r="Z7" s="3">
        <f t="shared" si="2"/>
        <v>395</v>
      </c>
      <c r="AA7" s="3">
        <f t="shared" si="2"/>
        <v>390</v>
      </c>
      <c r="AB7" s="3">
        <f t="shared" si="2"/>
        <v>393</v>
      </c>
      <c r="AC7" s="3">
        <f t="shared" si="2"/>
        <v>397</v>
      </c>
      <c r="AD7" s="3">
        <f t="shared" si="2"/>
        <v>395</v>
      </c>
      <c r="AE7" s="3">
        <f t="shared" si="2"/>
        <v>391</v>
      </c>
      <c r="AF7" s="3">
        <f t="shared" si="2"/>
        <v>397</v>
      </c>
      <c r="AG7" s="36">
        <f t="shared" si="2"/>
        <v>4721</v>
      </c>
      <c r="AH7" s="38"/>
      <c r="AJ7" s="13" t="s">
        <v>1</v>
      </c>
      <c r="AK7" s="2">
        <f>U7</f>
        <v>397</v>
      </c>
      <c r="AL7" s="3">
        <f t="shared" ref="AL7:AV7" si="3">V7</f>
        <v>390</v>
      </c>
      <c r="AM7" s="3">
        <f t="shared" si="3"/>
        <v>397</v>
      </c>
      <c r="AN7" s="3">
        <f t="shared" si="3"/>
        <v>391</v>
      </c>
      <c r="AO7" s="3">
        <f t="shared" si="3"/>
        <v>388</v>
      </c>
      <c r="AP7" s="3">
        <f t="shared" si="3"/>
        <v>395</v>
      </c>
      <c r="AQ7" s="3">
        <f t="shared" si="3"/>
        <v>390</v>
      </c>
      <c r="AR7" s="3">
        <f t="shared" si="3"/>
        <v>393</v>
      </c>
      <c r="AS7" s="3">
        <f t="shared" si="3"/>
        <v>397</v>
      </c>
      <c r="AT7" s="3">
        <f t="shared" si="3"/>
        <v>395</v>
      </c>
      <c r="AU7" s="3">
        <f t="shared" si="3"/>
        <v>391</v>
      </c>
      <c r="AV7" s="3">
        <f t="shared" si="3"/>
        <v>397</v>
      </c>
      <c r="AW7" s="36">
        <f>SUM(AK7:AV7)</f>
        <v>4721</v>
      </c>
    </row>
    <row r="8" spans="2:49" x14ac:dyDescent="0.2">
      <c r="E8" s="14" t="s">
        <v>34</v>
      </c>
      <c r="F8" s="183">
        <f>IF(F7=0,"",(F6/((C7+F7)/2)))</f>
        <v>7.556675062972292E-3</v>
      </c>
      <c r="G8" s="180">
        <f t="shared" ref="G8:Q8" si="4">IF(F7=0,"",(G6/((F7+G7)/2)))</f>
        <v>2.0330368487928845E-2</v>
      </c>
      <c r="H8" s="180">
        <f t="shared" si="4"/>
        <v>2.5412960609911056E-3</v>
      </c>
      <c r="I8" s="180">
        <f t="shared" si="4"/>
        <v>1.5228426395939087E-2</v>
      </c>
      <c r="J8" s="180">
        <f t="shared" si="4"/>
        <v>1.540436456996149E-2</v>
      </c>
      <c r="K8" s="180">
        <f t="shared" si="4"/>
        <v>1.7879948914431672E-2</v>
      </c>
      <c r="L8" s="180">
        <f t="shared" si="4"/>
        <v>2.038216560509554E-2</v>
      </c>
      <c r="M8" s="180">
        <f t="shared" si="4"/>
        <v>2.0434227330779056E-2</v>
      </c>
      <c r="N8" s="180">
        <f t="shared" si="4"/>
        <v>1.0126582278481013E-2</v>
      </c>
      <c r="O8" s="180">
        <f t="shared" si="4"/>
        <v>1.0101010101010102E-2</v>
      </c>
      <c r="P8" s="180">
        <f t="shared" si="4"/>
        <v>1.0178117048346057E-2</v>
      </c>
      <c r="Q8" s="180">
        <f t="shared" si="4"/>
        <v>7.6142131979695434E-3</v>
      </c>
      <c r="R8" s="161">
        <f>SUM(F8:Q8)</f>
        <v>0.15777739505390581</v>
      </c>
      <c r="T8" s="14" t="s">
        <v>34</v>
      </c>
      <c r="U8" s="179">
        <f>IF(U7=0,"",(U6/((C7+U7)/2)))</f>
        <v>1.2594458438287154E-2</v>
      </c>
      <c r="V8" s="180">
        <f t="shared" ref="V8:AF8" si="5">IF(U7=0,"",(V6/((U7+V7)/2)))</f>
        <v>0</v>
      </c>
      <c r="W8" s="180">
        <f t="shared" si="5"/>
        <v>0</v>
      </c>
      <c r="X8" s="180">
        <f t="shared" si="5"/>
        <v>0</v>
      </c>
      <c r="Y8" s="180">
        <f t="shared" si="5"/>
        <v>0</v>
      </c>
      <c r="Z8" s="180">
        <f t="shared" si="5"/>
        <v>0</v>
      </c>
      <c r="AA8" s="180">
        <f t="shared" si="5"/>
        <v>0</v>
      </c>
      <c r="AB8" s="180">
        <f t="shared" si="5"/>
        <v>0</v>
      </c>
      <c r="AC8" s="180">
        <f t="shared" si="5"/>
        <v>0</v>
      </c>
      <c r="AD8" s="180">
        <f t="shared" si="5"/>
        <v>0</v>
      </c>
      <c r="AE8" s="180">
        <f t="shared" si="5"/>
        <v>0</v>
      </c>
      <c r="AF8" s="180">
        <f t="shared" si="5"/>
        <v>0</v>
      </c>
      <c r="AG8" s="161">
        <f>SUM(U8:AF8)</f>
        <v>1.2594458438287154E-2</v>
      </c>
      <c r="AH8" s="38"/>
      <c r="AJ8" s="14" t="s">
        <v>34</v>
      </c>
      <c r="AK8" s="96">
        <f>IF(AK7=0,"",(AK6/((C7+AK7)/2)))</f>
        <v>2.0151133501259445E-2</v>
      </c>
      <c r="AL8" s="95">
        <f t="shared" ref="AL8:AV8" si="6">IF(AK7=0,"",(AL6/((AK7+AL7)/2)))</f>
        <v>2.0330368487928845E-2</v>
      </c>
      <c r="AM8" s="95">
        <f t="shared" si="6"/>
        <v>2.5412960609911056E-3</v>
      </c>
      <c r="AN8" s="95">
        <f t="shared" si="6"/>
        <v>1.5228426395939087E-2</v>
      </c>
      <c r="AO8" s="95">
        <f t="shared" si="6"/>
        <v>1.540436456996149E-2</v>
      </c>
      <c r="AP8" s="95">
        <f t="shared" si="6"/>
        <v>1.7879948914431672E-2</v>
      </c>
      <c r="AQ8" s="95">
        <f t="shared" si="6"/>
        <v>2.038216560509554E-2</v>
      </c>
      <c r="AR8" s="95">
        <f t="shared" si="6"/>
        <v>2.0434227330779056E-2</v>
      </c>
      <c r="AS8" s="95">
        <f t="shared" si="6"/>
        <v>1.0126582278481013E-2</v>
      </c>
      <c r="AT8" s="95">
        <f t="shared" si="6"/>
        <v>1.0101010101010102E-2</v>
      </c>
      <c r="AU8" s="95">
        <f t="shared" si="6"/>
        <v>1.0178117048346057E-2</v>
      </c>
      <c r="AV8" s="95">
        <f t="shared" si="6"/>
        <v>7.6142131979695434E-3</v>
      </c>
      <c r="AW8" s="161">
        <f>SUM(AK8:AV8)</f>
        <v>0.17037185349219297</v>
      </c>
    </row>
    <row r="9" spans="2:49" ht="12.75" thickBot="1" x14ac:dyDescent="0.25">
      <c r="E9" s="94" t="s">
        <v>35</v>
      </c>
      <c r="F9" s="181">
        <f>F8*12</f>
        <v>9.06801007556675E-2</v>
      </c>
      <c r="G9" s="182">
        <f>IFERROR(IF(G7="","",((F8+G8)/G2)*12),"")</f>
        <v>0.16732226130540684</v>
      </c>
      <c r="H9" s="182">
        <f>IFERROR(IF(H7="","",((F8+G8+H8)/$H$2)*12),"")</f>
        <v>0.12171335844756898</v>
      </c>
      <c r="I9" s="182">
        <f>IFERROR(IF(I7="","",((F8+G8+H8+I8)/$I$2)*12),"")</f>
        <v>0.136970298023494</v>
      </c>
      <c r="J9" s="182">
        <f>IFERROR(IF(J7="","",((F8+G8+H8+I8+J8)/$J$2)*12),"")</f>
        <v>0.14654671338670278</v>
      </c>
      <c r="K9" s="182">
        <f>IFERROR(IF(K7="","",((F8+G8+H8+I8+J8+K8)/$K$2)*12),"")</f>
        <v>0.15788215898444899</v>
      </c>
      <c r="L9" s="182">
        <f>IFERROR(IF(L7="","",((F8+G8+H8+I8+J8+K8+L8)/$L$2)*12),"")</f>
        <v>0.17026842016683436</v>
      </c>
      <c r="M9" s="182">
        <f>IFERROR(IF(M7="","",((F8+G8+H8+I8+J8+K8+L8+M8)/$M$2)*12),"")</f>
        <v>0.17963620864214863</v>
      </c>
      <c r="N9" s="182">
        <f>IFERROR(IF(N7="","",((F8+G8+H8+I8+J8+K8+L8+M8+N8)/$N$2)*12),"")</f>
        <v>0.17317873960877347</v>
      </c>
      <c r="O9" s="182">
        <f>IFERROR(IF(O7="","",((F8+G8+H8+I8+J8+K8+L8+M8+N8+O8)/$O$2)*12),"")</f>
        <v>0.16798207776910823</v>
      </c>
      <c r="P9" s="182">
        <f>IFERROR(IF(P7="","",((F8+G8+H8+I8+J8+K8+L8+M8+N8+O8+P8)/$P$2)*12),"")</f>
        <v>0.16381438020647593</v>
      </c>
      <c r="Q9" s="182">
        <f>IFERROR(IF(Q7="","",((F8+G8+H8+I8+J8+K8+L8+M8+N8+O8+P8+Q8)/$Q$2)*12),"")</f>
        <v>0.15777739505390581</v>
      </c>
      <c r="R9" s="162">
        <f>(R6/(R7/12))</f>
        <v>0.15759373014191908</v>
      </c>
      <c r="T9" s="94" t="s">
        <v>35</v>
      </c>
      <c r="U9" s="181">
        <f>U8*12</f>
        <v>0.15113350125944586</v>
      </c>
      <c r="V9" s="182">
        <f>IFERROR(IF(V7=0,"",((U8+V8)/$G$2)*12),"")</f>
        <v>7.5566750629722929E-2</v>
      </c>
      <c r="W9" s="182">
        <f>IFERROR(IF(W7="","",((U8+V8+W8)/$H$2)*12),"")</f>
        <v>5.037783375314861E-2</v>
      </c>
      <c r="X9" s="182">
        <f>IFERROR(IF(X7="","",((U8+V8+W8+X8)/$I$2)*12),"")</f>
        <v>3.7783375314861464E-2</v>
      </c>
      <c r="Y9" s="182">
        <f>IFERROR(IF(Y7="","",((U8+V8+W8+X8+Y8)/$J$2)*12),"")</f>
        <v>3.0226700251889168E-2</v>
      </c>
      <c r="Z9" s="182">
        <f>IFERROR(IF(Z7="","",((U8+V8+W8+X8+Y8+Z8)/$K$2)*12),"")</f>
        <v>2.5188916876574305E-2</v>
      </c>
      <c r="AA9" s="182">
        <f>IFERROR(IF(AA7="","",((U8+V8+W8+X8+Y8+Z8+AA8)/$L$2)*12),"")</f>
        <v>2.1590500179920834E-2</v>
      </c>
      <c r="AB9" s="182">
        <f>IFERROR(IF(AB7="","",((U8+V8+W8+X8+Y8+Z8+AA8+AB8)/$M$2)*12),"")</f>
        <v>1.8891687657430732E-2</v>
      </c>
      <c r="AC9" s="182">
        <f>IFERROR(IF(AC7="","",((U8+V8+W8+X8+Y8+Z8+AA8+AB8+AC8)/$N$2)*12),"")</f>
        <v>1.6792611251049541E-2</v>
      </c>
      <c r="AD9" s="182">
        <f>IFERROR(IF(AD7="","",((U8+V8+W8+X8+Y8+Z8+AA8+AB8+AC8+AD8)/$O$2)*12),"")</f>
        <v>1.5113350125944584E-2</v>
      </c>
      <c r="AE9" s="182">
        <f>IFERROR(IF(AE7="","",((U8+V8+W8+X8+Y8+Z8+AA8+AB8+AC8+AD8+AE8)/$P$2)*12),"")</f>
        <v>1.3739409205404169E-2</v>
      </c>
      <c r="AF9" s="182">
        <f>IFERROR(IF(AF7="","",((U8+V8+W8+X8+Y8+Z8+AA8+AB8+AC8+AD8+AE8+AF8)/$Q$2)*12),"")</f>
        <v>1.2594458438287152E-2</v>
      </c>
      <c r="AG9" s="91">
        <f>(AG6/(AG7/12))</f>
        <v>1.2709171785638636E-2</v>
      </c>
      <c r="AH9" s="38"/>
      <c r="AJ9" s="94" t="s">
        <v>35</v>
      </c>
      <c r="AK9" s="181">
        <f>AK8*12</f>
        <v>0.24181360201511334</v>
      </c>
      <c r="AL9" s="182">
        <f>IFERROR(IF(AL7=0,"",((AK8+AL8)/$G$2)*12),"")</f>
        <v>0.24288901193512974</v>
      </c>
      <c r="AM9" s="182">
        <f>IFERROR(IF(AM7="","",((AK8+AL8+AM8)/$H$2)*12),"")</f>
        <v>0.17209119220071759</v>
      </c>
      <c r="AN9" s="182">
        <f>IFERROR(IF(AN7="","",((AK8+AL8+AM8+AN8)/$I$2)*12),"")</f>
        <v>0.17475367333835545</v>
      </c>
      <c r="AO9" s="182">
        <f>IFERROR(IF(AO7="","",((AK8+AL8+AM8+AN8+AO8)/$J$2)*12),"")</f>
        <v>0.17677341363859189</v>
      </c>
      <c r="AP9" s="182">
        <f>IFERROR(IF(AP7="","",((AK8+AL8+AM8+AN8+AO8+AP8)/$K$2)*12),"")</f>
        <v>0.18307107586102328</v>
      </c>
      <c r="AQ9" s="182">
        <f>IFERROR(IF(AQ7="","",((AK8+AL8+AM8+AN8+AO8+AP8+AQ8)/$L$2)*12),"")</f>
        <v>0.19185892034675517</v>
      </c>
      <c r="AR9" s="182">
        <f>IFERROR(IF(AR7="","",((AK8+AL8+AM8+AN8+AO8+AP8+AQ8+AR8)/$M$2)*12),"")</f>
        <v>0.19852789629957937</v>
      </c>
      <c r="AS9" s="182">
        <f>IFERROR(IF(AS7="","",((AK8+AL8+AM8+AN8+AO8+AP8+AQ8+AR8+AS8)/$N$2)*12),"")</f>
        <v>0.18997135085982303</v>
      </c>
      <c r="AT9" s="182">
        <f>IFERROR(IF(AT7="","",((AK8+AL8+AM8+AN8+AO8+AP8+AQ8+AR8+AS8+AT8)/$O$2)*12),"")</f>
        <v>0.18309542789505284</v>
      </c>
      <c r="AU9" s="182">
        <f>IFERROR(IF(AU7="","",((AK8+AL8+AM8+AN8+AO8+AP8+AQ8+AR8+AS8+AT8+AU8)/$P$2)*12),"")</f>
        <v>0.1775537894118801</v>
      </c>
      <c r="AV9" s="182">
        <f>IFERROR(IF(AV7="","",((AK8+AL8+AM8+AN8+AO8+AP8+AQ8+AR8+AS8+AT8+AU8+AV8)/$Q$2)*12),"")</f>
        <v>0.17037185349219297</v>
      </c>
      <c r="AW9" s="91">
        <f>(AW6/(AW7/12))</f>
        <v>0.1703029019275577</v>
      </c>
    </row>
    <row r="10" spans="2:49" s="170" customFormat="1" ht="13.15" hidden="1" customHeight="1" x14ac:dyDescent="0.2">
      <c r="T10" s="171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3"/>
      <c r="AH10" s="174"/>
      <c r="AJ10" s="175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3"/>
    </row>
    <row r="11" spans="2:49" s="170" customFormat="1" hidden="1" x14ac:dyDescent="0.2"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3"/>
      <c r="T11" s="171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3"/>
      <c r="AH11" s="174"/>
      <c r="AJ11" s="175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3"/>
    </row>
    <row r="12" spans="2:49" s="148" customFormat="1" x14ac:dyDescent="0.2">
      <c r="C12" s="149"/>
      <c r="E12" s="150" t="s">
        <v>19</v>
      </c>
      <c r="F12" s="151">
        <f>Metas!$C$4</f>
        <v>0.04</v>
      </c>
      <c r="G12" s="151">
        <f>Metas!$C$4</f>
        <v>0.04</v>
      </c>
      <c r="H12" s="151">
        <f>Metas!$C$4</f>
        <v>0.04</v>
      </c>
      <c r="I12" s="151">
        <f>Metas!$C$4</f>
        <v>0.04</v>
      </c>
      <c r="J12" s="151">
        <f>Metas!$C$4</f>
        <v>0.04</v>
      </c>
      <c r="K12" s="151">
        <f>Metas!$C$4</f>
        <v>0.04</v>
      </c>
      <c r="L12" s="151">
        <f>Metas!$C$4</f>
        <v>0.04</v>
      </c>
      <c r="M12" s="151">
        <f>Metas!$C$4</f>
        <v>0.04</v>
      </c>
      <c r="N12" s="151">
        <f>Metas!$C$4</f>
        <v>0.04</v>
      </c>
      <c r="O12" s="151">
        <f>Metas!$C$4</f>
        <v>0.04</v>
      </c>
      <c r="P12" s="151">
        <f>Metas!$C$4</f>
        <v>0.04</v>
      </c>
      <c r="Q12" s="151">
        <f>Metas!$C$4</f>
        <v>0.04</v>
      </c>
      <c r="R12" s="152"/>
      <c r="T12" s="150" t="s">
        <v>19</v>
      </c>
      <c r="U12" s="153">
        <f>Metas!$C$5</f>
        <v>7.0000000000000007E-2</v>
      </c>
      <c r="V12" s="153">
        <f>Metas!$C$5</f>
        <v>7.0000000000000007E-2</v>
      </c>
      <c r="W12" s="153">
        <f>Metas!$C$5</f>
        <v>7.0000000000000007E-2</v>
      </c>
      <c r="X12" s="153">
        <f>Metas!$C$5</f>
        <v>7.0000000000000007E-2</v>
      </c>
      <c r="Y12" s="153">
        <f>Metas!$C$5</f>
        <v>7.0000000000000007E-2</v>
      </c>
      <c r="Z12" s="153">
        <f>Metas!$C$5</f>
        <v>7.0000000000000007E-2</v>
      </c>
      <c r="AA12" s="153">
        <f>Metas!$C$5</f>
        <v>7.0000000000000007E-2</v>
      </c>
      <c r="AB12" s="153">
        <f>Metas!$C$5</f>
        <v>7.0000000000000007E-2</v>
      </c>
      <c r="AC12" s="153">
        <f>Metas!$C$5</f>
        <v>7.0000000000000007E-2</v>
      </c>
      <c r="AD12" s="153">
        <f>Metas!$C$5</f>
        <v>7.0000000000000007E-2</v>
      </c>
      <c r="AE12" s="153">
        <f>Metas!$C$5</f>
        <v>7.0000000000000007E-2</v>
      </c>
      <c r="AF12" s="153">
        <f>Metas!$C$5</f>
        <v>7.0000000000000007E-2</v>
      </c>
      <c r="AG12" s="152"/>
      <c r="AH12" s="154"/>
      <c r="AJ12" s="150" t="s">
        <v>19</v>
      </c>
      <c r="AK12" s="153">
        <f>F12+U12</f>
        <v>0.11000000000000001</v>
      </c>
      <c r="AL12" s="153">
        <f t="shared" ref="AL12:AV13" si="7">G12+V12</f>
        <v>0.11000000000000001</v>
      </c>
      <c r="AM12" s="153">
        <f t="shared" si="7"/>
        <v>0.11000000000000001</v>
      </c>
      <c r="AN12" s="153">
        <f t="shared" si="7"/>
        <v>0.11000000000000001</v>
      </c>
      <c r="AO12" s="153">
        <f t="shared" si="7"/>
        <v>0.11000000000000001</v>
      </c>
      <c r="AP12" s="153">
        <f t="shared" si="7"/>
        <v>0.11000000000000001</v>
      </c>
      <c r="AQ12" s="153">
        <f t="shared" si="7"/>
        <v>0.11000000000000001</v>
      </c>
      <c r="AR12" s="153">
        <f t="shared" si="7"/>
        <v>0.11000000000000001</v>
      </c>
      <c r="AS12" s="153">
        <f t="shared" si="7"/>
        <v>0.11000000000000001</v>
      </c>
      <c r="AT12" s="153">
        <f t="shared" si="7"/>
        <v>0.11000000000000001</v>
      </c>
      <c r="AU12" s="153">
        <f t="shared" si="7"/>
        <v>0.11000000000000001</v>
      </c>
      <c r="AV12" s="153">
        <f t="shared" si="7"/>
        <v>0.11000000000000001</v>
      </c>
      <c r="AW12" s="152"/>
    </row>
    <row r="13" spans="2:49" s="104" customFormat="1" x14ac:dyDescent="0.2">
      <c r="C13" s="105"/>
      <c r="E13" s="109" t="s">
        <v>20</v>
      </c>
      <c r="F13" s="106">
        <f>Metas!$C$4/12</f>
        <v>3.3333333333333335E-3</v>
      </c>
      <c r="G13" s="106">
        <f>Metas!$C$4/12</f>
        <v>3.3333333333333335E-3</v>
      </c>
      <c r="H13" s="106">
        <f>Metas!$C$4/12</f>
        <v>3.3333333333333335E-3</v>
      </c>
      <c r="I13" s="106">
        <f>Metas!$C$4/12</f>
        <v>3.3333333333333335E-3</v>
      </c>
      <c r="J13" s="106">
        <f>Metas!$C$4/12</f>
        <v>3.3333333333333335E-3</v>
      </c>
      <c r="K13" s="106">
        <f>Metas!$C$4/12</f>
        <v>3.3333333333333335E-3</v>
      </c>
      <c r="L13" s="106">
        <f>Metas!$C$4/12</f>
        <v>3.3333333333333335E-3</v>
      </c>
      <c r="M13" s="106">
        <f>Metas!$C$4/12</f>
        <v>3.3333333333333335E-3</v>
      </c>
      <c r="N13" s="106">
        <f>Metas!$C$4/12</f>
        <v>3.3333333333333335E-3</v>
      </c>
      <c r="O13" s="106">
        <f>Metas!$C$4/12</f>
        <v>3.3333333333333335E-3</v>
      </c>
      <c r="P13" s="106">
        <f>Metas!$C$4/12</f>
        <v>3.3333333333333335E-3</v>
      </c>
      <c r="Q13" s="106">
        <f>Metas!$C$4/12</f>
        <v>3.3333333333333335E-3</v>
      </c>
      <c r="R13" s="107"/>
      <c r="T13" s="109" t="s">
        <v>20</v>
      </c>
      <c r="U13" s="106">
        <f>U12/12</f>
        <v>5.8333333333333336E-3</v>
      </c>
      <c r="V13" s="106">
        <f t="shared" ref="V13:AF13" si="8">V12/12</f>
        <v>5.8333333333333336E-3</v>
      </c>
      <c r="W13" s="106">
        <f t="shared" si="8"/>
        <v>5.8333333333333336E-3</v>
      </c>
      <c r="X13" s="106">
        <f t="shared" si="8"/>
        <v>5.8333333333333336E-3</v>
      </c>
      <c r="Y13" s="106">
        <f t="shared" si="8"/>
        <v>5.8333333333333336E-3</v>
      </c>
      <c r="Z13" s="106">
        <f t="shared" si="8"/>
        <v>5.8333333333333336E-3</v>
      </c>
      <c r="AA13" s="106">
        <f t="shared" si="8"/>
        <v>5.8333333333333336E-3</v>
      </c>
      <c r="AB13" s="106">
        <f t="shared" si="8"/>
        <v>5.8333333333333336E-3</v>
      </c>
      <c r="AC13" s="106">
        <f t="shared" si="8"/>
        <v>5.8333333333333336E-3</v>
      </c>
      <c r="AD13" s="106">
        <f t="shared" si="8"/>
        <v>5.8333333333333336E-3</v>
      </c>
      <c r="AE13" s="106">
        <f t="shared" si="8"/>
        <v>5.8333333333333336E-3</v>
      </c>
      <c r="AF13" s="106">
        <f t="shared" si="8"/>
        <v>5.8333333333333336E-3</v>
      </c>
      <c r="AG13" s="107"/>
      <c r="AH13" s="108"/>
      <c r="AJ13" s="109" t="s">
        <v>16</v>
      </c>
      <c r="AK13" s="106">
        <f>F13+U13</f>
        <v>9.1666666666666667E-3</v>
      </c>
      <c r="AL13" s="106">
        <f t="shared" si="7"/>
        <v>9.1666666666666667E-3</v>
      </c>
      <c r="AM13" s="106">
        <f t="shared" si="7"/>
        <v>9.1666666666666667E-3</v>
      </c>
      <c r="AN13" s="106">
        <f t="shared" si="7"/>
        <v>9.1666666666666667E-3</v>
      </c>
      <c r="AO13" s="106">
        <f t="shared" si="7"/>
        <v>9.1666666666666667E-3</v>
      </c>
      <c r="AP13" s="106">
        <f t="shared" si="7"/>
        <v>9.1666666666666667E-3</v>
      </c>
      <c r="AQ13" s="106">
        <f t="shared" si="7"/>
        <v>9.1666666666666667E-3</v>
      </c>
      <c r="AR13" s="106">
        <f t="shared" si="7"/>
        <v>9.1666666666666667E-3</v>
      </c>
      <c r="AS13" s="106">
        <f t="shared" si="7"/>
        <v>9.1666666666666667E-3</v>
      </c>
      <c r="AT13" s="106">
        <f t="shared" si="7"/>
        <v>9.1666666666666667E-3</v>
      </c>
      <c r="AU13" s="106">
        <f t="shared" si="7"/>
        <v>9.1666666666666667E-3</v>
      </c>
      <c r="AV13" s="106">
        <f t="shared" si="7"/>
        <v>9.1666666666666667E-3</v>
      </c>
      <c r="AW13" s="107"/>
    </row>
    <row r="14" spans="2:49" s="110" customFormat="1" hidden="1" x14ac:dyDescent="0.2">
      <c r="C14" s="105"/>
      <c r="E14" s="111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12"/>
      <c r="T14" s="111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12"/>
      <c r="AH14" s="113"/>
      <c r="AJ14" s="111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12"/>
    </row>
    <row r="15" spans="2:49" s="50" customFormat="1" hidden="1" x14ac:dyDescent="0.2">
      <c r="E15" s="114"/>
      <c r="R15" s="99"/>
      <c r="T15" s="115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99"/>
      <c r="AH15" s="102"/>
      <c r="AJ15" s="114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99"/>
    </row>
    <row r="16" spans="2:49" s="50" customFormat="1" hidden="1" x14ac:dyDescent="0.2">
      <c r="E16" s="114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99"/>
      <c r="T16" s="115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99"/>
      <c r="AH16" s="102"/>
      <c r="AJ16" s="114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99"/>
    </row>
    <row r="17" spans="1:49" s="50" customFormat="1" hidden="1" x14ac:dyDescent="0.2">
      <c r="E17" s="118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99"/>
      <c r="T17" s="114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99"/>
      <c r="AH17" s="102"/>
      <c r="AJ17" s="118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99"/>
    </row>
    <row r="18" spans="1:49" s="50" customFormat="1" hidden="1" x14ac:dyDescent="0.2">
      <c r="E18" s="118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99"/>
      <c r="T18" s="114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99"/>
      <c r="AH18" s="102"/>
      <c r="AI18" s="51"/>
      <c r="AJ18" s="118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99"/>
    </row>
    <row r="19" spans="1:49" s="50" customFormat="1" hidden="1" x14ac:dyDescent="0.2">
      <c r="E19" s="114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T19" s="114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99"/>
      <c r="AH19" s="102"/>
      <c r="AI19" s="51"/>
      <c r="AJ19" s="114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99"/>
    </row>
    <row r="20" spans="1:49" s="50" customFormat="1" hidden="1" x14ac:dyDescent="0.2">
      <c r="R20" s="53"/>
      <c r="T20" s="122"/>
      <c r="U20" s="123"/>
      <c r="V20" s="123"/>
      <c r="W20" s="123"/>
      <c r="X20" s="123"/>
      <c r="Y20" s="123"/>
      <c r="Z20" s="123"/>
      <c r="AA20" s="123"/>
      <c r="AB20" s="100"/>
      <c r="AC20" s="100"/>
      <c r="AD20" s="100"/>
      <c r="AE20" s="100"/>
      <c r="AF20" s="100"/>
      <c r="AG20" s="99"/>
      <c r="AH20" s="102"/>
      <c r="AI20" s="51"/>
      <c r="AJ20" s="51"/>
      <c r="AK20" s="51"/>
      <c r="AL20" s="51"/>
      <c r="AM20" s="51"/>
      <c r="AN20" s="51"/>
      <c r="AW20" s="53"/>
    </row>
    <row r="21" spans="1:49" s="50" customFormat="1" ht="12.75" thickBot="1" x14ac:dyDescent="0.25"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53"/>
      <c r="AG21" s="53"/>
      <c r="AH21" s="102"/>
      <c r="AW21" s="53"/>
    </row>
    <row r="22" spans="1:49" ht="15" customHeight="1" thickBot="1" x14ac:dyDescent="0.25">
      <c r="B22" s="227"/>
      <c r="C22" s="227"/>
      <c r="F22" s="233" t="s">
        <v>7</v>
      </c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163"/>
      <c r="U22" s="235" t="s">
        <v>8</v>
      </c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164"/>
      <c r="AH22" s="38"/>
      <c r="AI22" s="7"/>
      <c r="AK22" s="237" t="s">
        <v>14</v>
      </c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165"/>
    </row>
    <row r="23" spans="1:49" ht="12.75" thickBot="1" x14ac:dyDescent="0.25">
      <c r="B23" s="167" t="s">
        <v>9</v>
      </c>
      <c r="C23" s="15">
        <v>44440</v>
      </c>
      <c r="F23" s="10">
        <v>44470</v>
      </c>
      <c r="G23" s="11">
        <v>44501</v>
      </c>
      <c r="H23" s="11">
        <v>44531</v>
      </c>
      <c r="I23" s="11">
        <v>44562</v>
      </c>
      <c r="J23" s="11">
        <v>44593</v>
      </c>
      <c r="K23" s="11">
        <v>44621</v>
      </c>
      <c r="L23" s="11">
        <v>44652</v>
      </c>
      <c r="M23" s="11">
        <v>44682</v>
      </c>
      <c r="N23" s="11">
        <v>44713</v>
      </c>
      <c r="O23" s="11">
        <v>44743</v>
      </c>
      <c r="P23" s="11">
        <v>44774</v>
      </c>
      <c r="Q23" s="11">
        <v>44805</v>
      </c>
      <c r="R23" s="1" t="s">
        <v>2</v>
      </c>
      <c r="U23" s="17">
        <f>F23</f>
        <v>44470</v>
      </c>
      <c r="V23" s="18">
        <f t="shared" ref="V23:AF23" si="9">G23</f>
        <v>44501</v>
      </c>
      <c r="W23" s="18">
        <f t="shared" si="9"/>
        <v>44531</v>
      </c>
      <c r="X23" s="18">
        <f t="shared" si="9"/>
        <v>44562</v>
      </c>
      <c r="Y23" s="18">
        <f t="shared" si="9"/>
        <v>44593</v>
      </c>
      <c r="Z23" s="18">
        <f t="shared" si="9"/>
        <v>44621</v>
      </c>
      <c r="AA23" s="18">
        <f t="shared" si="9"/>
        <v>44652</v>
      </c>
      <c r="AB23" s="18">
        <f t="shared" si="9"/>
        <v>44682</v>
      </c>
      <c r="AC23" s="18">
        <f t="shared" si="9"/>
        <v>44713</v>
      </c>
      <c r="AD23" s="18">
        <f t="shared" si="9"/>
        <v>44743</v>
      </c>
      <c r="AE23" s="18">
        <f t="shared" si="9"/>
        <v>44774</v>
      </c>
      <c r="AF23" s="18">
        <f t="shared" si="9"/>
        <v>44805</v>
      </c>
      <c r="AG23" s="20" t="s">
        <v>2</v>
      </c>
      <c r="AH23" s="38"/>
      <c r="AI23" s="7"/>
      <c r="AK23" s="10">
        <v>44470</v>
      </c>
      <c r="AL23" s="11">
        <v>44501</v>
      </c>
      <c r="AM23" s="11">
        <v>44531</v>
      </c>
      <c r="AN23" s="11">
        <v>44562</v>
      </c>
      <c r="AO23" s="11">
        <v>44593</v>
      </c>
      <c r="AP23" s="11">
        <v>44621</v>
      </c>
      <c r="AQ23" s="11">
        <v>44652</v>
      </c>
      <c r="AR23" s="11">
        <v>44682</v>
      </c>
      <c r="AS23" s="11">
        <v>44713</v>
      </c>
      <c r="AT23" s="11">
        <v>44743</v>
      </c>
      <c r="AU23" s="11">
        <v>44774</v>
      </c>
      <c r="AV23" s="11">
        <v>44805</v>
      </c>
      <c r="AW23" s="16" t="s">
        <v>2</v>
      </c>
    </row>
    <row r="24" spans="1:49" ht="12.75" thickBot="1" x14ac:dyDescent="0.25">
      <c r="E24" s="12" t="s">
        <v>0</v>
      </c>
      <c r="F24" s="26">
        <v>0</v>
      </c>
      <c r="G24" s="27">
        <v>2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4">
        <f>SUM(F24:Q24)</f>
        <v>2</v>
      </c>
      <c r="T24" s="12" t="s">
        <v>0</v>
      </c>
      <c r="U24" s="39">
        <v>0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37">
        <f>SUM(U24:AF24)</f>
        <v>0</v>
      </c>
      <c r="AH24" s="38"/>
      <c r="AI24" s="7"/>
      <c r="AJ24" s="12" t="s">
        <v>0</v>
      </c>
      <c r="AK24" s="8">
        <f t="shared" ref="AK24:AV24" si="10">U24+F24</f>
        <v>0</v>
      </c>
      <c r="AL24" s="9">
        <f t="shared" si="10"/>
        <v>2</v>
      </c>
      <c r="AM24" s="9">
        <f t="shared" si="10"/>
        <v>0</v>
      </c>
      <c r="AN24" s="9">
        <f t="shared" si="10"/>
        <v>0</v>
      </c>
      <c r="AO24" s="9">
        <f t="shared" si="10"/>
        <v>0</v>
      </c>
      <c r="AP24" s="9">
        <f t="shared" si="10"/>
        <v>0</v>
      </c>
      <c r="AQ24" s="9">
        <f t="shared" si="10"/>
        <v>0</v>
      </c>
      <c r="AR24" s="9">
        <f t="shared" si="10"/>
        <v>0</v>
      </c>
      <c r="AS24" s="9">
        <f t="shared" si="10"/>
        <v>0</v>
      </c>
      <c r="AT24" s="9">
        <f t="shared" si="10"/>
        <v>0</v>
      </c>
      <c r="AU24" s="9">
        <f t="shared" si="10"/>
        <v>0</v>
      </c>
      <c r="AV24" s="9">
        <f t="shared" si="10"/>
        <v>0</v>
      </c>
      <c r="AW24" s="36">
        <f>SUM(AK24:AV24)</f>
        <v>2</v>
      </c>
    </row>
    <row r="25" spans="1:49" ht="12.75" thickBot="1" x14ac:dyDescent="0.25">
      <c r="A25" s="14"/>
      <c r="B25" s="168" t="s">
        <v>1</v>
      </c>
      <c r="C25" s="169">
        <v>61</v>
      </c>
      <c r="E25" s="13" t="s">
        <v>1</v>
      </c>
      <c r="F25" s="28">
        <v>61</v>
      </c>
      <c r="G25" s="29">
        <v>60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5">
        <f>SUM(F25:Q25)</f>
        <v>121</v>
      </c>
      <c r="T25" s="13" t="s">
        <v>1</v>
      </c>
      <c r="U25" s="2">
        <f t="shared" ref="U25:AF25" si="11">F25</f>
        <v>61</v>
      </c>
      <c r="V25" s="3">
        <f t="shared" si="11"/>
        <v>60</v>
      </c>
      <c r="W25" s="3">
        <f t="shared" si="11"/>
        <v>0</v>
      </c>
      <c r="X25" s="3">
        <f t="shared" si="11"/>
        <v>0</v>
      </c>
      <c r="Y25" s="3">
        <f t="shared" si="11"/>
        <v>0</v>
      </c>
      <c r="Z25" s="3">
        <f t="shared" si="11"/>
        <v>0</v>
      </c>
      <c r="AA25" s="3">
        <f t="shared" si="11"/>
        <v>0</v>
      </c>
      <c r="AB25" s="3">
        <f t="shared" si="11"/>
        <v>0</v>
      </c>
      <c r="AC25" s="3">
        <f t="shared" si="11"/>
        <v>0</v>
      </c>
      <c r="AD25" s="3">
        <f t="shared" si="11"/>
        <v>0</v>
      </c>
      <c r="AE25" s="3">
        <f t="shared" si="11"/>
        <v>0</v>
      </c>
      <c r="AF25" s="3">
        <f t="shared" si="11"/>
        <v>0</v>
      </c>
      <c r="AG25" s="36">
        <f>SUM(U25:AF25)</f>
        <v>121</v>
      </c>
      <c r="AH25" s="38"/>
      <c r="AI25" s="7"/>
      <c r="AJ25" s="13" t="s">
        <v>1</v>
      </c>
      <c r="AK25" s="2">
        <f t="shared" ref="AK25:AV25" si="12">U25</f>
        <v>61</v>
      </c>
      <c r="AL25" s="3">
        <f t="shared" si="12"/>
        <v>60</v>
      </c>
      <c r="AM25" s="3">
        <f t="shared" si="12"/>
        <v>0</v>
      </c>
      <c r="AN25" s="3">
        <f t="shared" si="12"/>
        <v>0</v>
      </c>
      <c r="AO25" s="3">
        <f t="shared" si="12"/>
        <v>0</v>
      </c>
      <c r="AP25" s="3">
        <f t="shared" si="12"/>
        <v>0</v>
      </c>
      <c r="AQ25" s="3">
        <f t="shared" si="12"/>
        <v>0</v>
      </c>
      <c r="AR25" s="3">
        <f t="shared" si="12"/>
        <v>0</v>
      </c>
      <c r="AS25" s="3">
        <f t="shared" si="12"/>
        <v>0</v>
      </c>
      <c r="AT25" s="3">
        <f t="shared" si="12"/>
        <v>0</v>
      </c>
      <c r="AU25" s="3">
        <f t="shared" si="12"/>
        <v>0</v>
      </c>
      <c r="AV25" s="3">
        <f t="shared" si="12"/>
        <v>0</v>
      </c>
      <c r="AW25" s="36">
        <f>SUM(AK25:AV25)</f>
        <v>121</v>
      </c>
    </row>
    <row r="26" spans="1:49" x14ac:dyDescent="0.2">
      <c r="E26" s="14" t="s">
        <v>36</v>
      </c>
      <c r="F26" s="179">
        <f>IF(F25=0,"",(F24/(($C$25+F25)/2)))</f>
        <v>0</v>
      </c>
      <c r="G26" s="180">
        <f t="shared" ref="G26:Q26" si="13">IF(F25=0,"",(G24/((F25+G25)/2)))</f>
        <v>3.3057851239669422E-2</v>
      </c>
      <c r="H26" s="180">
        <f t="shared" si="13"/>
        <v>0</v>
      </c>
      <c r="I26" s="180" t="str">
        <f t="shared" si="13"/>
        <v/>
      </c>
      <c r="J26" s="180" t="str">
        <f t="shared" si="13"/>
        <v/>
      </c>
      <c r="K26" s="180" t="str">
        <f t="shared" si="13"/>
        <v/>
      </c>
      <c r="L26" s="180" t="str">
        <f t="shared" si="13"/>
        <v/>
      </c>
      <c r="M26" s="180" t="str">
        <f t="shared" si="13"/>
        <v/>
      </c>
      <c r="N26" s="180" t="str">
        <f t="shared" si="13"/>
        <v/>
      </c>
      <c r="O26" s="180" t="str">
        <f t="shared" si="13"/>
        <v/>
      </c>
      <c r="P26" s="180" t="str">
        <f t="shared" si="13"/>
        <v/>
      </c>
      <c r="Q26" s="180" t="str">
        <f t="shared" si="13"/>
        <v/>
      </c>
      <c r="R26" s="161">
        <f>SUM(F26:Q26)</f>
        <v>3.3057851239669422E-2</v>
      </c>
      <c r="T26" s="14" t="s">
        <v>32</v>
      </c>
      <c r="U26" s="96">
        <f>IF(U25=0,"",(U24/(($C$25+U25)/2)))</f>
        <v>0</v>
      </c>
      <c r="V26" s="95">
        <f>IFERROR(IF(U25=0,"",(V24/((U25+V25)/2))),"")</f>
        <v>0</v>
      </c>
      <c r="W26" s="95">
        <f t="shared" ref="W26:AF26" si="14">IFERROR(IF(V25=0,"",(W24/((V25+W25)/2))),"")</f>
        <v>0</v>
      </c>
      <c r="X26" s="95" t="str">
        <f t="shared" si="14"/>
        <v/>
      </c>
      <c r="Y26" s="95" t="str">
        <f t="shared" si="14"/>
        <v/>
      </c>
      <c r="Z26" s="95" t="str">
        <f t="shared" si="14"/>
        <v/>
      </c>
      <c r="AA26" s="95" t="str">
        <f t="shared" si="14"/>
        <v/>
      </c>
      <c r="AB26" s="95" t="str">
        <f t="shared" si="14"/>
        <v/>
      </c>
      <c r="AC26" s="95" t="str">
        <f t="shared" si="14"/>
        <v/>
      </c>
      <c r="AD26" s="95" t="str">
        <f t="shared" si="14"/>
        <v/>
      </c>
      <c r="AE26" s="95" t="str">
        <f t="shared" si="14"/>
        <v/>
      </c>
      <c r="AF26" s="95" t="str">
        <f t="shared" si="14"/>
        <v/>
      </c>
      <c r="AG26" s="161">
        <f>SUM(U26:AF26)</f>
        <v>0</v>
      </c>
      <c r="AH26" s="38"/>
      <c r="AI26" s="7"/>
      <c r="AJ26" s="14" t="s">
        <v>32</v>
      </c>
      <c r="AK26" s="96">
        <f>IF(AK25=0,"",(AK24/(($C$25+AK25)/2)))</f>
        <v>0</v>
      </c>
      <c r="AL26" s="95">
        <f t="shared" ref="AL26:AV26" si="15">IF(AK25=0,"",(AL24/((AK25+AL25)/2)))</f>
        <v>3.3057851239669422E-2</v>
      </c>
      <c r="AM26" s="95">
        <f t="shared" si="15"/>
        <v>0</v>
      </c>
      <c r="AN26" s="95" t="str">
        <f t="shared" si="15"/>
        <v/>
      </c>
      <c r="AO26" s="95" t="str">
        <f t="shared" si="15"/>
        <v/>
      </c>
      <c r="AP26" s="95" t="str">
        <f t="shared" si="15"/>
        <v/>
      </c>
      <c r="AQ26" s="95" t="str">
        <f t="shared" si="15"/>
        <v/>
      </c>
      <c r="AR26" s="95" t="str">
        <f t="shared" si="15"/>
        <v/>
      </c>
      <c r="AS26" s="95" t="str">
        <f t="shared" si="15"/>
        <v/>
      </c>
      <c r="AT26" s="95" t="str">
        <f t="shared" si="15"/>
        <v/>
      </c>
      <c r="AU26" s="95" t="str">
        <f t="shared" si="15"/>
        <v/>
      </c>
      <c r="AV26" s="95" t="str">
        <f t="shared" si="15"/>
        <v/>
      </c>
      <c r="AW26" s="161">
        <f>SUM(AK26:AV26)</f>
        <v>3.3057851239669422E-2</v>
      </c>
    </row>
    <row r="27" spans="1:49" s="50" customFormat="1" ht="12.75" thickBot="1" x14ac:dyDescent="0.25">
      <c r="E27" s="94" t="s">
        <v>37</v>
      </c>
      <c r="F27" s="181">
        <f>F26*12</f>
        <v>0</v>
      </c>
      <c r="G27" s="182">
        <f>IFERROR(IF(G25="","",((F26+G26)/$G$2)*12),"")</f>
        <v>0.19834710743801653</v>
      </c>
      <c r="H27" s="182" t="str">
        <f>IFERROR(IF(H25="","",((F26+G26+H26)/$H$2)*12),"")</f>
        <v/>
      </c>
      <c r="I27" s="182" t="str">
        <f>IFERROR(IF(I25="","",((F26+G26+H26+I26)/$I$2)*12),"")</f>
        <v/>
      </c>
      <c r="J27" s="182" t="str">
        <f>IFERROR(IF(J25="","",((F26+G26+H26+I26+J26)/$J$2)*12),"")</f>
        <v/>
      </c>
      <c r="K27" s="182" t="str">
        <f>IFERROR(IF(K25="","",((F26+G26+H26+I26+J26+K26)/$K$2)*12),"")</f>
        <v/>
      </c>
      <c r="L27" s="182" t="str">
        <f>IFERROR(IF(L25="","",((F26+G26+H26+I26+J26+K26+L26)/$L$2)*12),"")</f>
        <v/>
      </c>
      <c r="M27" s="182" t="str">
        <f>IFERROR(IF(M25="","",((F26+G26+H26+I26+J26+K26+L26+M26)/$M$2)*12),"")</f>
        <v/>
      </c>
      <c r="N27" s="182" t="str">
        <f>IFERROR(IF(N25="","",((F26+G26+H26+I26+J26+K26+L26+M26+N26)/$N$2)*12),"")</f>
        <v/>
      </c>
      <c r="O27" s="182" t="str">
        <f>IFERROR(IF(O25="","",((F26+G26+H26+I26+J26+K26+L26+M26+N26+O26)/$O$2)*12),"")</f>
        <v/>
      </c>
      <c r="P27" s="182" t="str">
        <f>IFERROR(IF(P25="","",((F26+G26+H26+I26+J26+K26+L26+M26+N26+O26+P26)/$P$2)*12),"")</f>
        <v/>
      </c>
      <c r="Q27" s="182" t="str">
        <f>IFERROR(IF(Q25="","",((F26+G26+H26+I26+J26+K26+L26+M26+N26+O26+P26+Q26)/$Q$2)*12),"")</f>
        <v/>
      </c>
      <c r="R27" s="125">
        <f>(R24/(R25/12))</f>
        <v>0.19834710743801651</v>
      </c>
      <c r="T27" s="124" t="s">
        <v>33</v>
      </c>
      <c r="U27" s="181">
        <f>U26*12</f>
        <v>0</v>
      </c>
      <c r="V27" s="182">
        <f>IFERROR(IF(V25=0,"",((U26+V26)/$G$2)*12),"")</f>
        <v>0</v>
      </c>
      <c r="W27" s="182">
        <f>IFERROR(IF(W25="","",((U26+V26+W26)/$H$2)*12),"")</f>
        <v>0</v>
      </c>
      <c r="X27" s="182" t="str">
        <f>IFERROR(IF(X25="","",((U26+V26+W26+X26)/$I$2)*12),"")</f>
        <v/>
      </c>
      <c r="Y27" s="182" t="str">
        <f>IFERROR(IF(Y25="","",((U26+V26+W26+X26+Y26)/$J$2)*12),"")</f>
        <v/>
      </c>
      <c r="Z27" s="182" t="str">
        <f>IFERROR(IF(Z25="","",((U26+V26+W26+X26+Y26+Z26)/$K$2)*12),"")</f>
        <v/>
      </c>
      <c r="AA27" s="182" t="str">
        <f>IFERROR(IF(AA25="","",((U26+V26+W26+X26+Y26+Z26+AA26)/$L$2)*12),"")</f>
        <v/>
      </c>
      <c r="AB27" s="182" t="str">
        <f>IFERROR(IF(AB25="","",((U26+V26+W26+X26+Y26+Z26+AA26+AB26)/$M$2)*12),"")</f>
        <v/>
      </c>
      <c r="AC27" s="182" t="str">
        <f>IFERROR(IF(AC25="","",((U26+V26+W26+X26+Y26+Z26+AA26+AB26+AC26)/$N$2)*12),"")</f>
        <v/>
      </c>
      <c r="AD27" s="182" t="str">
        <f>IFERROR(IF(AD25="","",((U26+V26+W26+X26+Y26+Z26+AA26+AB26+AC26+AD26)/$O$2)*12),"")</f>
        <v/>
      </c>
      <c r="AE27" s="182" t="str">
        <f>IFERROR(IF(AE25="","",((U26+V26+W26+X26+Y26+Z26+AA26+AB26+AC26+AD26+AE26)/$P$2)*12),"")</f>
        <v/>
      </c>
      <c r="AF27" s="182" t="str">
        <f>IFERROR(IF(AF25="","",((U26+V26+W26+X26+Y26+Z26+AA26+AB26+AC26+AD26+AE26+AF26)/$Q$2)*12),"")</f>
        <v/>
      </c>
      <c r="AG27" s="125">
        <f>(AG24/(AG25/12))</f>
        <v>0</v>
      </c>
      <c r="AH27" s="102"/>
      <c r="AI27" s="51"/>
      <c r="AJ27" s="124" t="s">
        <v>33</v>
      </c>
      <c r="AK27" s="181">
        <f>AK26*12</f>
        <v>0</v>
      </c>
      <c r="AL27" s="182">
        <f>IFERROR(IF(AL25=0,"",((AK26+AL26)/$G$2)*12),"")</f>
        <v>0.19834710743801653</v>
      </c>
      <c r="AM27" s="182">
        <f>IFERROR(IF(AM25="","",((AK26+AL26+AM26)/$H$2)*12),"")</f>
        <v>0.13223140495867769</v>
      </c>
      <c r="AN27" s="182" t="str">
        <f>IFERROR(IF(AN25="","",((AK26+AL26+AM26+AN26)/$I$2)*12),"")</f>
        <v/>
      </c>
      <c r="AO27" s="182" t="str">
        <f>IFERROR(IF(AO25="","",((AK26+AL26+AM26+AN26+AO26)/$J$2)*12),"")</f>
        <v/>
      </c>
      <c r="AP27" s="182" t="str">
        <f>IFERROR(IF(AP25="","",((AK26+AL26+AM26+AN26+AO26+AP26)/$K$2)*12),"")</f>
        <v/>
      </c>
      <c r="AQ27" s="182" t="str">
        <f>IFERROR(IF(AQ25="","",((AK26+AL26+AM26+AN26+AO26+AP26+AQ26)/$L$2)*12),"")</f>
        <v/>
      </c>
      <c r="AR27" s="182" t="str">
        <f>IFERROR(IF(AR25="","",((AK26+AL26+AM26+AN26+AO26+AP26+AQ26+AR26)/$M$2)*12),"")</f>
        <v/>
      </c>
      <c r="AS27" s="182" t="str">
        <f>IFERROR(IF(AS25="","",((AK26+AL26+AM26+AN26+AO26+AP26+AQ26+AR26+AS26)/$N$2)*12),"")</f>
        <v/>
      </c>
      <c r="AT27" s="182" t="str">
        <f>IFERROR(IF(AT25="","",((AK26+AL26+AM26+AN26+AO26+AP26+AQ26+AR26+AS26+AT26)/$O$2)*12),"")</f>
        <v/>
      </c>
      <c r="AU27" s="182" t="str">
        <f>IFERROR(IF(AU25="","",((AK26+AL26+AM26+AN26+AO26+AP26+AQ26+AR26+AS26+AT26+AU26)/$P$2)*12),"")</f>
        <v/>
      </c>
      <c r="AV27" s="182" t="str">
        <f>IFERROR(IF(AV25="","",((AK26+AL26+AM26+AN26+AO26+AP26+AQ26+AR26+AS26+AT26+AU26+AV26)/$Q$2)*12),"")</f>
        <v/>
      </c>
      <c r="AW27" s="125">
        <f>(AW24/(AW25/12))</f>
        <v>0.19834710743801651</v>
      </c>
    </row>
    <row r="28" spans="1:49" s="50" customFormat="1" hidden="1" x14ac:dyDescent="0.2">
      <c r="E28" s="97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99"/>
      <c r="T28" s="10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99"/>
      <c r="AH28" s="102"/>
      <c r="AI28" s="51"/>
      <c r="AJ28" s="103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99"/>
    </row>
    <row r="29" spans="1:49" s="50" customFormat="1" hidden="1" x14ac:dyDescent="0.2">
      <c r="E29" s="103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T29" s="100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99"/>
      <c r="AH29" s="102"/>
      <c r="AI29" s="51"/>
      <c r="AJ29" s="103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99"/>
    </row>
    <row r="30" spans="1:49" s="50" customFormat="1" hidden="1" x14ac:dyDescent="0.2">
      <c r="E30" s="118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99"/>
      <c r="T30" s="115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99"/>
      <c r="AH30" s="102"/>
      <c r="AI30" s="51"/>
      <c r="AJ30" s="118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99"/>
    </row>
    <row r="31" spans="1:49" s="155" customFormat="1" x14ac:dyDescent="0.2">
      <c r="E31" s="150" t="s">
        <v>19</v>
      </c>
      <c r="F31" s="151">
        <f>Metas!$D$4</f>
        <v>0.04</v>
      </c>
      <c r="G31" s="151">
        <f>Metas!$D$4</f>
        <v>0.04</v>
      </c>
      <c r="H31" s="151">
        <f>Metas!$D$4</f>
        <v>0.04</v>
      </c>
      <c r="I31" s="151">
        <f>Metas!$D$4</f>
        <v>0.04</v>
      </c>
      <c r="J31" s="151">
        <f>Metas!$D$4</f>
        <v>0.04</v>
      </c>
      <c r="K31" s="151">
        <f>Metas!$D$4</f>
        <v>0.04</v>
      </c>
      <c r="L31" s="151">
        <f>Metas!$D$4</f>
        <v>0.04</v>
      </c>
      <c r="M31" s="151">
        <f>Metas!$D$4</f>
        <v>0.04</v>
      </c>
      <c r="N31" s="151">
        <f>Metas!$D$4</f>
        <v>0.04</v>
      </c>
      <c r="O31" s="151">
        <f>Metas!$D$4</f>
        <v>0.04</v>
      </c>
      <c r="P31" s="151">
        <f>Metas!$D$4</f>
        <v>0.04</v>
      </c>
      <c r="Q31" s="151">
        <f>Metas!$D$4</f>
        <v>0.04</v>
      </c>
      <c r="R31" s="156"/>
      <c r="T31" s="150" t="s">
        <v>19</v>
      </c>
      <c r="U31" s="153">
        <f>Metas!$D$5</f>
        <v>7.0000000000000007E-2</v>
      </c>
      <c r="V31" s="153">
        <f>Metas!$D$5</f>
        <v>7.0000000000000007E-2</v>
      </c>
      <c r="W31" s="153">
        <f>Metas!$D$5</f>
        <v>7.0000000000000007E-2</v>
      </c>
      <c r="X31" s="153">
        <f>Metas!$D$5</f>
        <v>7.0000000000000007E-2</v>
      </c>
      <c r="Y31" s="153">
        <f>Metas!$D$5</f>
        <v>7.0000000000000007E-2</v>
      </c>
      <c r="Z31" s="153">
        <f>Metas!$D$5</f>
        <v>7.0000000000000007E-2</v>
      </c>
      <c r="AA31" s="153">
        <f>Metas!$D$5</f>
        <v>7.0000000000000007E-2</v>
      </c>
      <c r="AB31" s="153">
        <f>Metas!$D$5</f>
        <v>7.0000000000000007E-2</v>
      </c>
      <c r="AC31" s="153">
        <f>Metas!$D$5</f>
        <v>7.0000000000000007E-2</v>
      </c>
      <c r="AD31" s="153">
        <f>Metas!$D$5</f>
        <v>7.0000000000000007E-2</v>
      </c>
      <c r="AE31" s="153">
        <f>Metas!$D$5</f>
        <v>7.0000000000000007E-2</v>
      </c>
      <c r="AF31" s="153">
        <f>Metas!$D$5</f>
        <v>7.0000000000000007E-2</v>
      </c>
      <c r="AG31" s="156"/>
      <c r="AH31" s="157"/>
      <c r="AJ31" s="150" t="s">
        <v>19</v>
      </c>
      <c r="AK31" s="153">
        <f>F31+U31</f>
        <v>0.11000000000000001</v>
      </c>
      <c r="AL31" s="153">
        <f t="shared" ref="AL31:AL32" si="16">G31+V31</f>
        <v>0.11000000000000001</v>
      </c>
      <c r="AM31" s="153">
        <f t="shared" ref="AM31:AM32" si="17">H31+W31</f>
        <v>0.11000000000000001</v>
      </c>
      <c r="AN31" s="153">
        <f t="shared" ref="AN31:AN32" si="18">I31+X31</f>
        <v>0.11000000000000001</v>
      </c>
      <c r="AO31" s="153">
        <f t="shared" ref="AO31:AO32" si="19">J31+Y31</f>
        <v>0.11000000000000001</v>
      </c>
      <c r="AP31" s="153">
        <f t="shared" ref="AP31:AP32" si="20">K31+Z31</f>
        <v>0.11000000000000001</v>
      </c>
      <c r="AQ31" s="153">
        <f t="shared" ref="AQ31:AQ32" si="21">L31+AA31</f>
        <v>0.11000000000000001</v>
      </c>
      <c r="AR31" s="153">
        <f t="shared" ref="AR31:AR32" si="22">M31+AB31</f>
        <v>0.11000000000000001</v>
      </c>
      <c r="AS31" s="153">
        <f t="shared" ref="AS31:AS32" si="23">N31+AC31</f>
        <v>0.11000000000000001</v>
      </c>
      <c r="AT31" s="153">
        <f t="shared" ref="AT31:AT32" si="24">O31+AD31</f>
        <v>0.11000000000000001</v>
      </c>
      <c r="AU31" s="153">
        <f t="shared" ref="AU31:AU32" si="25">P31+AE31</f>
        <v>0.11000000000000001</v>
      </c>
      <c r="AV31" s="153">
        <f t="shared" ref="AV31:AV32" si="26">Q31+AF31</f>
        <v>0.11000000000000001</v>
      </c>
      <c r="AW31" s="156"/>
    </row>
    <row r="32" spans="1:49" s="110" customFormat="1" x14ac:dyDescent="0.2">
      <c r="E32" s="109" t="s">
        <v>20</v>
      </c>
      <c r="F32" s="106">
        <f>F31/12</f>
        <v>3.3333333333333335E-3</v>
      </c>
      <c r="G32" s="106">
        <f t="shared" ref="G32:Q32" si="27">G31/12</f>
        <v>3.3333333333333335E-3</v>
      </c>
      <c r="H32" s="106">
        <f t="shared" si="27"/>
        <v>3.3333333333333335E-3</v>
      </c>
      <c r="I32" s="106">
        <f t="shared" si="27"/>
        <v>3.3333333333333335E-3</v>
      </c>
      <c r="J32" s="106">
        <f t="shared" si="27"/>
        <v>3.3333333333333335E-3</v>
      </c>
      <c r="K32" s="106">
        <f t="shared" si="27"/>
        <v>3.3333333333333335E-3</v>
      </c>
      <c r="L32" s="106">
        <f t="shared" si="27"/>
        <v>3.3333333333333335E-3</v>
      </c>
      <c r="M32" s="106">
        <f t="shared" si="27"/>
        <v>3.3333333333333335E-3</v>
      </c>
      <c r="N32" s="106">
        <f t="shared" si="27"/>
        <v>3.3333333333333335E-3</v>
      </c>
      <c r="O32" s="106">
        <f t="shared" si="27"/>
        <v>3.3333333333333335E-3</v>
      </c>
      <c r="P32" s="106">
        <f t="shared" si="27"/>
        <v>3.3333333333333335E-3</v>
      </c>
      <c r="Q32" s="106">
        <f t="shared" si="27"/>
        <v>3.3333333333333335E-3</v>
      </c>
      <c r="R32" s="112"/>
      <c r="T32" s="109" t="s">
        <v>20</v>
      </c>
      <c r="U32" s="106">
        <f>U31/12</f>
        <v>5.8333333333333336E-3</v>
      </c>
      <c r="V32" s="106">
        <f t="shared" ref="V32:AF32" si="28">V31/12</f>
        <v>5.8333333333333336E-3</v>
      </c>
      <c r="W32" s="106">
        <f t="shared" si="28"/>
        <v>5.8333333333333336E-3</v>
      </c>
      <c r="X32" s="106">
        <f t="shared" si="28"/>
        <v>5.8333333333333336E-3</v>
      </c>
      <c r="Y32" s="106">
        <f t="shared" si="28"/>
        <v>5.8333333333333336E-3</v>
      </c>
      <c r="Z32" s="106">
        <f t="shared" si="28"/>
        <v>5.8333333333333336E-3</v>
      </c>
      <c r="AA32" s="106">
        <f t="shared" si="28"/>
        <v>5.8333333333333336E-3</v>
      </c>
      <c r="AB32" s="106">
        <f t="shared" si="28"/>
        <v>5.8333333333333336E-3</v>
      </c>
      <c r="AC32" s="106">
        <f t="shared" si="28"/>
        <v>5.8333333333333336E-3</v>
      </c>
      <c r="AD32" s="106">
        <f t="shared" si="28"/>
        <v>5.8333333333333336E-3</v>
      </c>
      <c r="AE32" s="106">
        <f t="shared" si="28"/>
        <v>5.8333333333333336E-3</v>
      </c>
      <c r="AF32" s="106">
        <f t="shared" si="28"/>
        <v>5.8333333333333336E-3</v>
      </c>
      <c r="AG32" s="112"/>
      <c r="AH32" s="113"/>
      <c r="AJ32" s="109" t="s">
        <v>16</v>
      </c>
      <c r="AK32" s="106">
        <f>F32+U32</f>
        <v>9.1666666666666667E-3</v>
      </c>
      <c r="AL32" s="106">
        <f t="shared" si="16"/>
        <v>9.1666666666666667E-3</v>
      </c>
      <c r="AM32" s="106">
        <f t="shared" si="17"/>
        <v>9.1666666666666667E-3</v>
      </c>
      <c r="AN32" s="106">
        <f t="shared" si="18"/>
        <v>9.1666666666666667E-3</v>
      </c>
      <c r="AO32" s="106">
        <f t="shared" si="19"/>
        <v>9.1666666666666667E-3</v>
      </c>
      <c r="AP32" s="106">
        <f t="shared" si="20"/>
        <v>9.1666666666666667E-3</v>
      </c>
      <c r="AQ32" s="106">
        <f t="shared" si="21"/>
        <v>9.1666666666666667E-3</v>
      </c>
      <c r="AR32" s="106">
        <f t="shared" si="22"/>
        <v>9.1666666666666667E-3</v>
      </c>
      <c r="AS32" s="106">
        <f t="shared" si="23"/>
        <v>9.1666666666666667E-3</v>
      </c>
      <c r="AT32" s="106">
        <f t="shared" si="24"/>
        <v>9.1666666666666667E-3</v>
      </c>
      <c r="AU32" s="106">
        <f t="shared" si="25"/>
        <v>9.1666666666666667E-3</v>
      </c>
      <c r="AV32" s="106">
        <f t="shared" si="26"/>
        <v>9.1666666666666667E-3</v>
      </c>
      <c r="AW32" s="112"/>
    </row>
    <row r="33" spans="1:50" s="50" customFormat="1" hidden="1" x14ac:dyDescent="0.2">
      <c r="E33" s="114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99"/>
      <c r="T33" s="115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99"/>
      <c r="AH33" s="102"/>
      <c r="AI33" s="51"/>
      <c r="AJ33" s="114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99"/>
    </row>
    <row r="34" spans="1:50" s="50" customFormat="1" hidden="1" x14ac:dyDescent="0.2">
      <c r="E34" s="114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99"/>
      <c r="T34" s="115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99"/>
      <c r="AH34" s="102"/>
      <c r="AI34" s="51"/>
      <c r="AJ34" s="114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99"/>
    </row>
    <row r="35" spans="1:50" s="50" customFormat="1" hidden="1" x14ac:dyDescent="0.2">
      <c r="E35" s="118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99"/>
      <c r="T35" s="114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99"/>
      <c r="AH35" s="102"/>
      <c r="AI35" s="51"/>
      <c r="AJ35" s="118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99"/>
    </row>
    <row r="36" spans="1:50" s="50" customFormat="1" hidden="1" x14ac:dyDescent="0.2">
      <c r="E36" s="118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99"/>
      <c r="T36" s="114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99"/>
      <c r="AH36" s="102"/>
      <c r="AI36" s="51"/>
      <c r="AJ36" s="118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99"/>
    </row>
    <row r="37" spans="1:50" s="50" customFormat="1" hidden="1" x14ac:dyDescent="0.2">
      <c r="E37" s="114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T37" s="114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99"/>
      <c r="AH37" s="102"/>
      <c r="AI37" s="51"/>
      <c r="AJ37" s="114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99"/>
    </row>
    <row r="38" spans="1:50" s="50" customFormat="1" hidden="1" x14ac:dyDescent="0.2">
      <c r="E38" s="127"/>
      <c r="F38" s="126"/>
      <c r="G38" s="126"/>
      <c r="H38" s="128"/>
      <c r="I38" s="128"/>
      <c r="J38" s="128"/>
      <c r="K38" s="128"/>
      <c r="L38" s="128"/>
      <c r="M38" s="128"/>
      <c r="N38" s="128"/>
      <c r="O38" s="128"/>
      <c r="P38" s="129"/>
      <c r="Q38" s="129"/>
      <c r="R38" s="130"/>
      <c r="T38" s="127"/>
      <c r="U38" s="127"/>
      <c r="V38" s="127"/>
      <c r="W38" s="123"/>
      <c r="X38" s="123"/>
      <c r="Y38" s="123"/>
      <c r="Z38" s="123"/>
      <c r="AA38" s="123"/>
      <c r="AB38" s="100"/>
      <c r="AC38" s="100"/>
      <c r="AD38" s="100"/>
      <c r="AE38" s="100"/>
      <c r="AF38" s="100"/>
      <c r="AG38" s="99"/>
      <c r="AH38" s="102"/>
      <c r="AI38" s="51"/>
      <c r="AJ38" s="51"/>
      <c r="AK38" s="51"/>
      <c r="AL38" s="51"/>
      <c r="AM38" s="51"/>
      <c r="AN38" s="51"/>
      <c r="AW38" s="53"/>
    </row>
    <row r="39" spans="1:50" s="50" customFormat="1" ht="12.75" thickBot="1" x14ac:dyDescent="0.25">
      <c r="A39" s="131"/>
      <c r="B39" s="131"/>
      <c r="C39" s="131"/>
      <c r="D39" s="131"/>
      <c r="E39" s="131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3"/>
      <c r="Q39" s="133"/>
      <c r="R39" s="134"/>
      <c r="S39" s="131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4"/>
      <c r="AH39" s="136"/>
      <c r="AI39" s="135"/>
      <c r="AJ39" s="135"/>
      <c r="AK39" s="135"/>
      <c r="AL39" s="135"/>
      <c r="AM39" s="135"/>
      <c r="AN39" s="135"/>
      <c r="AO39" s="131"/>
      <c r="AP39" s="131"/>
      <c r="AQ39" s="131"/>
      <c r="AR39" s="131"/>
      <c r="AS39" s="131"/>
      <c r="AT39" s="131"/>
      <c r="AU39" s="131"/>
      <c r="AV39" s="131"/>
      <c r="AW39" s="137"/>
      <c r="AX39" s="131"/>
    </row>
    <row r="40" spans="1:50" ht="13.5" thickTop="1" thickBot="1" x14ac:dyDescent="0.25"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34"/>
      <c r="AH40" s="38"/>
      <c r="AI40" s="4"/>
      <c r="AJ40" s="7"/>
      <c r="AK40" s="7"/>
      <c r="AL40" s="7"/>
      <c r="AM40" s="7"/>
      <c r="AN40" s="7"/>
    </row>
    <row r="41" spans="1:50" ht="28.15" customHeight="1" thickBot="1" x14ac:dyDescent="0.25">
      <c r="B41" s="228"/>
      <c r="C41" s="228"/>
      <c r="F41" s="239" t="s">
        <v>10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56"/>
      <c r="U41" s="231" t="s">
        <v>11</v>
      </c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55"/>
      <c r="AH41" s="38"/>
      <c r="AI41" s="4"/>
      <c r="AK41" s="229" t="s">
        <v>12</v>
      </c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54"/>
    </row>
    <row r="42" spans="1:50" ht="12.75" thickBot="1" x14ac:dyDescent="0.25">
      <c r="B42" s="167" t="s">
        <v>9</v>
      </c>
      <c r="C42" s="15">
        <v>44440</v>
      </c>
      <c r="F42" s="10">
        <v>44470</v>
      </c>
      <c r="G42" s="11">
        <v>44501</v>
      </c>
      <c r="H42" s="11">
        <v>44531</v>
      </c>
      <c r="I42" s="11">
        <v>44562</v>
      </c>
      <c r="J42" s="11">
        <v>44593</v>
      </c>
      <c r="K42" s="11">
        <v>44621</v>
      </c>
      <c r="L42" s="11">
        <v>44652</v>
      </c>
      <c r="M42" s="11">
        <v>44682</v>
      </c>
      <c r="N42" s="11">
        <v>44713</v>
      </c>
      <c r="O42" s="11">
        <v>44743</v>
      </c>
      <c r="P42" s="11">
        <v>44774</v>
      </c>
      <c r="Q42" s="11">
        <v>44805</v>
      </c>
      <c r="R42" s="5" t="s">
        <v>2</v>
      </c>
      <c r="U42" s="10">
        <v>44470</v>
      </c>
      <c r="V42" s="11">
        <v>44501</v>
      </c>
      <c r="W42" s="11">
        <v>44531</v>
      </c>
      <c r="X42" s="11">
        <v>44562</v>
      </c>
      <c r="Y42" s="11">
        <v>44593</v>
      </c>
      <c r="Z42" s="11">
        <v>44621</v>
      </c>
      <c r="AA42" s="11">
        <v>44652</v>
      </c>
      <c r="AB42" s="11">
        <v>44682</v>
      </c>
      <c r="AC42" s="11">
        <v>44713</v>
      </c>
      <c r="AD42" s="11">
        <v>44743</v>
      </c>
      <c r="AE42" s="11">
        <v>44774</v>
      </c>
      <c r="AF42" s="11">
        <v>44805</v>
      </c>
      <c r="AG42" s="1" t="s">
        <v>2</v>
      </c>
      <c r="AH42" s="38"/>
      <c r="AI42" s="4"/>
      <c r="AK42" s="10">
        <v>44470</v>
      </c>
      <c r="AL42" s="11">
        <v>44501</v>
      </c>
      <c r="AM42" s="11">
        <v>44531</v>
      </c>
      <c r="AN42" s="11">
        <v>44562</v>
      </c>
      <c r="AO42" s="11">
        <v>44593</v>
      </c>
      <c r="AP42" s="11">
        <v>44621</v>
      </c>
      <c r="AQ42" s="11">
        <v>44652</v>
      </c>
      <c r="AR42" s="11">
        <v>44682</v>
      </c>
      <c r="AS42" s="11">
        <v>44713</v>
      </c>
      <c r="AT42" s="11">
        <v>44743</v>
      </c>
      <c r="AU42" s="11">
        <v>44774</v>
      </c>
      <c r="AV42" s="11">
        <v>44805</v>
      </c>
      <c r="AW42" s="16" t="s">
        <v>2</v>
      </c>
    </row>
    <row r="43" spans="1:50" ht="12.75" thickBot="1" x14ac:dyDescent="0.25">
      <c r="E43" s="12" t="s">
        <v>0</v>
      </c>
      <c r="F43" s="32">
        <f t="shared" ref="F43:Q43" si="29">IF(F24="","",F24+F6)</f>
        <v>3</v>
      </c>
      <c r="G43" s="32">
        <f>G6+G24</f>
        <v>10</v>
      </c>
      <c r="H43" s="32" t="str">
        <f t="shared" si="29"/>
        <v/>
      </c>
      <c r="I43" s="32" t="str">
        <f t="shared" si="29"/>
        <v/>
      </c>
      <c r="J43" s="32" t="str">
        <f t="shared" si="29"/>
        <v/>
      </c>
      <c r="K43" s="32" t="str">
        <f t="shared" si="29"/>
        <v/>
      </c>
      <c r="L43" s="32" t="str">
        <f t="shared" si="29"/>
        <v/>
      </c>
      <c r="M43" s="32" t="str">
        <f t="shared" si="29"/>
        <v/>
      </c>
      <c r="N43" s="32" t="str">
        <f t="shared" si="29"/>
        <v/>
      </c>
      <c r="O43" s="32" t="str">
        <f t="shared" si="29"/>
        <v/>
      </c>
      <c r="P43" s="32" t="str">
        <f t="shared" si="29"/>
        <v/>
      </c>
      <c r="Q43" s="32" t="str">
        <f t="shared" si="29"/>
        <v/>
      </c>
      <c r="R43" s="35">
        <f>SUM(F43:Q43)</f>
        <v>13</v>
      </c>
      <c r="T43" s="12" t="s">
        <v>0</v>
      </c>
      <c r="U43" s="189">
        <f t="shared" ref="U43:AF43" si="30">IF(U24="","",U24+U6)</f>
        <v>5</v>
      </c>
      <c r="V43" s="190" t="str">
        <f t="shared" si="30"/>
        <v/>
      </c>
      <c r="W43" s="190" t="str">
        <f t="shared" si="30"/>
        <v/>
      </c>
      <c r="X43" s="190" t="str">
        <f t="shared" si="30"/>
        <v/>
      </c>
      <c r="Y43" s="190" t="str">
        <f t="shared" si="30"/>
        <v/>
      </c>
      <c r="Z43" s="190" t="str">
        <f t="shared" si="30"/>
        <v/>
      </c>
      <c r="AA43" s="190" t="str">
        <f t="shared" si="30"/>
        <v/>
      </c>
      <c r="AB43" s="190" t="str">
        <f t="shared" si="30"/>
        <v/>
      </c>
      <c r="AC43" s="190" t="str">
        <f t="shared" si="30"/>
        <v/>
      </c>
      <c r="AD43" s="190" t="str">
        <f t="shared" si="30"/>
        <v/>
      </c>
      <c r="AE43" s="190" t="str">
        <f t="shared" si="30"/>
        <v/>
      </c>
      <c r="AF43" s="190" t="str">
        <f t="shared" si="30"/>
        <v/>
      </c>
      <c r="AG43" s="37">
        <f>SUM(U43:AF43)</f>
        <v>5</v>
      </c>
      <c r="AH43" s="38"/>
      <c r="AI43" s="4"/>
      <c r="AJ43" s="12" t="s">
        <v>0</v>
      </c>
      <c r="AK43" s="8">
        <f>IFERROR(U43+F43,"")</f>
        <v>8</v>
      </c>
      <c r="AL43" s="9" t="str">
        <f t="shared" ref="AL43:AV43" si="31">IFERROR(V43+G43,"")</f>
        <v/>
      </c>
      <c r="AM43" s="9" t="str">
        <f t="shared" si="31"/>
        <v/>
      </c>
      <c r="AN43" s="9" t="str">
        <f t="shared" si="31"/>
        <v/>
      </c>
      <c r="AO43" s="9" t="str">
        <f t="shared" si="31"/>
        <v/>
      </c>
      <c r="AP43" s="9" t="str">
        <f t="shared" si="31"/>
        <v/>
      </c>
      <c r="AQ43" s="9" t="str">
        <f t="shared" si="31"/>
        <v/>
      </c>
      <c r="AR43" s="9" t="str">
        <f t="shared" si="31"/>
        <v/>
      </c>
      <c r="AS43" s="9" t="str">
        <f t="shared" si="31"/>
        <v/>
      </c>
      <c r="AT43" s="9" t="str">
        <f t="shared" si="31"/>
        <v/>
      </c>
      <c r="AU43" s="9" t="str">
        <f t="shared" si="31"/>
        <v/>
      </c>
      <c r="AV43" s="9" t="str">
        <f t="shared" si="31"/>
        <v/>
      </c>
      <c r="AW43" s="36">
        <f>SUM(AK43:AV43)</f>
        <v>8</v>
      </c>
    </row>
    <row r="44" spans="1:50" ht="12.75" thickBot="1" x14ac:dyDescent="0.25">
      <c r="B44" s="168" t="s">
        <v>1</v>
      </c>
      <c r="C44" s="6">
        <f>C25+C7</f>
        <v>458</v>
      </c>
      <c r="E44" s="13" t="s">
        <v>1</v>
      </c>
      <c r="F44" s="32">
        <f t="shared" ref="F44:Q44" si="32">IF(F25="","",(F25+F7))</f>
        <v>458</v>
      </c>
      <c r="G44" s="32">
        <v>250</v>
      </c>
      <c r="H44" s="32" t="str">
        <f t="shared" si="32"/>
        <v/>
      </c>
      <c r="I44" s="32" t="str">
        <f t="shared" si="32"/>
        <v/>
      </c>
      <c r="J44" s="32" t="str">
        <f t="shared" si="32"/>
        <v/>
      </c>
      <c r="K44" s="32" t="str">
        <f t="shared" si="32"/>
        <v/>
      </c>
      <c r="L44" s="32" t="str">
        <f t="shared" si="32"/>
        <v/>
      </c>
      <c r="M44" s="32" t="str">
        <f t="shared" si="32"/>
        <v/>
      </c>
      <c r="N44" s="32" t="str">
        <f t="shared" si="32"/>
        <v/>
      </c>
      <c r="O44" s="32" t="str">
        <f t="shared" si="32"/>
        <v/>
      </c>
      <c r="P44" s="32" t="str">
        <f t="shared" si="32"/>
        <v/>
      </c>
      <c r="Q44" s="32" t="str">
        <f t="shared" si="32"/>
        <v/>
      </c>
      <c r="R44" s="36">
        <f>SUM(F44:Q44)</f>
        <v>708</v>
      </c>
      <c r="T44" s="13" t="s">
        <v>1</v>
      </c>
      <c r="U44" s="2">
        <f t="shared" ref="U44:AF44" si="33">F44</f>
        <v>458</v>
      </c>
      <c r="V44" s="3">
        <f t="shared" si="33"/>
        <v>250</v>
      </c>
      <c r="W44" s="3" t="str">
        <f t="shared" si="33"/>
        <v/>
      </c>
      <c r="X44" s="3" t="str">
        <f t="shared" si="33"/>
        <v/>
      </c>
      <c r="Y44" s="3" t="str">
        <f t="shared" si="33"/>
        <v/>
      </c>
      <c r="Z44" s="3" t="str">
        <f t="shared" si="33"/>
        <v/>
      </c>
      <c r="AA44" s="3" t="str">
        <f t="shared" si="33"/>
        <v/>
      </c>
      <c r="AB44" s="3" t="str">
        <f t="shared" si="33"/>
        <v/>
      </c>
      <c r="AC44" s="3" t="str">
        <f t="shared" si="33"/>
        <v/>
      </c>
      <c r="AD44" s="3" t="str">
        <f t="shared" si="33"/>
        <v/>
      </c>
      <c r="AE44" s="3" t="str">
        <f t="shared" si="33"/>
        <v/>
      </c>
      <c r="AF44" s="3" t="str">
        <f t="shared" si="33"/>
        <v/>
      </c>
      <c r="AG44" s="36">
        <f>SUM(U44:AF44)</f>
        <v>708</v>
      </c>
      <c r="AH44" s="38"/>
      <c r="AI44" s="4"/>
      <c r="AJ44" s="13" t="s">
        <v>1</v>
      </c>
      <c r="AK44" s="2">
        <f t="shared" ref="AK44:AV44" si="34">U44</f>
        <v>458</v>
      </c>
      <c r="AL44" s="3">
        <f t="shared" si="34"/>
        <v>250</v>
      </c>
      <c r="AM44" s="3" t="str">
        <f t="shared" si="34"/>
        <v/>
      </c>
      <c r="AN44" s="3" t="str">
        <f t="shared" si="34"/>
        <v/>
      </c>
      <c r="AO44" s="3" t="str">
        <f t="shared" si="34"/>
        <v/>
      </c>
      <c r="AP44" s="3" t="str">
        <f t="shared" si="34"/>
        <v/>
      </c>
      <c r="AQ44" s="3" t="str">
        <f t="shared" si="34"/>
        <v/>
      </c>
      <c r="AR44" s="3" t="str">
        <f t="shared" si="34"/>
        <v/>
      </c>
      <c r="AS44" s="3" t="str">
        <f t="shared" si="34"/>
        <v/>
      </c>
      <c r="AT44" s="3" t="str">
        <f t="shared" si="34"/>
        <v/>
      </c>
      <c r="AU44" s="3" t="str">
        <f t="shared" si="34"/>
        <v/>
      </c>
      <c r="AV44" s="3" t="str">
        <f t="shared" si="34"/>
        <v/>
      </c>
      <c r="AW44" s="36">
        <f>SUM(AK44:AV44)</f>
        <v>708</v>
      </c>
    </row>
    <row r="45" spans="1:50" x14ac:dyDescent="0.2">
      <c r="E45" s="14" t="s">
        <v>32</v>
      </c>
      <c r="F45" s="179">
        <f>IF(F44=0,"",(F43/(($C$44+F44)/2)))</f>
        <v>6.5502183406113534E-3</v>
      </c>
      <c r="G45" s="180">
        <f>IFERROR(IF(F44=0,"",(G43/((F44+G44)/2))),"")</f>
        <v>2.8248587570621469E-2</v>
      </c>
      <c r="H45" s="180" t="str">
        <f>IFERROR(IF(G44=0,"",(H43/((G44+H44)/2))),"")</f>
        <v/>
      </c>
      <c r="I45" s="180" t="str">
        <f t="shared" ref="I45:Q45" si="35">IFERROR(IF(H44=0,"",(I43/((H44+I44)/2))),"")</f>
        <v/>
      </c>
      <c r="J45" s="180" t="str">
        <f t="shared" si="35"/>
        <v/>
      </c>
      <c r="K45" s="180" t="str">
        <f t="shared" ref="K45" si="36">IFERROR(IF(J44=0,"",(K43/((J44+K44)/2))),"")</f>
        <v/>
      </c>
      <c r="L45" s="180" t="str">
        <f t="shared" ref="L45" si="37">IFERROR(IF(K44=0,"",(L43/((K44+L44)/2))),"")</f>
        <v/>
      </c>
      <c r="M45" s="180" t="str">
        <f t="shared" si="35"/>
        <v/>
      </c>
      <c r="N45" s="180" t="str">
        <f t="shared" si="35"/>
        <v/>
      </c>
      <c r="O45" s="180" t="str">
        <f t="shared" si="35"/>
        <v/>
      </c>
      <c r="P45" s="180" t="str">
        <f t="shared" si="35"/>
        <v/>
      </c>
      <c r="Q45" s="180" t="str">
        <f t="shared" si="35"/>
        <v/>
      </c>
      <c r="R45" s="161">
        <f>SUM(F45:Q45)</f>
        <v>3.479880591123282E-2</v>
      </c>
      <c r="T45" s="14" t="s">
        <v>32</v>
      </c>
      <c r="U45" s="179">
        <f>IF(U44=0,"",(U43/(($C$44+U44)/2)))</f>
        <v>1.0917030567685589E-2</v>
      </c>
      <c r="V45" s="180" t="str">
        <f>IFERROR(IF(U44=0,"",(V43/((U44+V44)/2))),"")</f>
        <v/>
      </c>
      <c r="W45" s="180" t="str">
        <f t="shared" ref="W45:AF45" si="38">IFERROR(IF(V44=0,"",(W43/((V44+W44)/2))),"")</f>
        <v/>
      </c>
      <c r="X45" s="180" t="str">
        <f t="shared" si="38"/>
        <v/>
      </c>
      <c r="Y45" s="180" t="str">
        <f t="shared" si="38"/>
        <v/>
      </c>
      <c r="Z45" s="180" t="str">
        <f t="shared" si="38"/>
        <v/>
      </c>
      <c r="AA45" s="180" t="str">
        <f t="shared" si="38"/>
        <v/>
      </c>
      <c r="AB45" s="180" t="str">
        <f t="shared" si="38"/>
        <v/>
      </c>
      <c r="AC45" s="180" t="str">
        <f t="shared" si="38"/>
        <v/>
      </c>
      <c r="AD45" s="180" t="str">
        <f t="shared" si="38"/>
        <v/>
      </c>
      <c r="AE45" s="180" t="str">
        <f t="shared" si="38"/>
        <v/>
      </c>
      <c r="AF45" s="180" t="str">
        <f t="shared" si="38"/>
        <v/>
      </c>
      <c r="AG45" s="161">
        <f>SUM(U45:AF45)</f>
        <v>1.0917030567685589E-2</v>
      </c>
      <c r="AH45" s="38"/>
      <c r="AI45" s="4"/>
      <c r="AJ45" s="14" t="s">
        <v>32</v>
      </c>
      <c r="AK45" s="96">
        <f>IF(AK44=0,"",(AK43/(($C$44+AK44)/2)))</f>
        <v>1.7467248908296942E-2</v>
      </c>
      <c r="AL45" s="95" t="str">
        <f>IFERROR(IF(AK44=0,"",(AL43/((AK44+AL44)/2))),"")</f>
        <v/>
      </c>
      <c r="AM45" s="95" t="str">
        <f t="shared" ref="AM45:AV45" si="39">IFERROR(IF(AL44=0,"",(AM43/((AL44+AM44)/2))),"")</f>
        <v/>
      </c>
      <c r="AN45" s="95" t="str">
        <f t="shared" si="39"/>
        <v/>
      </c>
      <c r="AO45" s="95" t="str">
        <f t="shared" si="39"/>
        <v/>
      </c>
      <c r="AP45" s="95" t="str">
        <f t="shared" si="39"/>
        <v/>
      </c>
      <c r="AQ45" s="95" t="str">
        <f t="shared" si="39"/>
        <v/>
      </c>
      <c r="AR45" s="95" t="str">
        <f t="shared" si="39"/>
        <v/>
      </c>
      <c r="AS45" s="95" t="str">
        <f t="shared" si="39"/>
        <v/>
      </c>
      <c r="AT45" s="95" t="str">
        <f t="shared" si="39"/>
        <v/>
      </c>
      <c r="AU45" s="95" t="str">
        <f t="shared" si="39"/>
        <v/>
      </c>
      <c r="AV45" s="95" t="str">
        <f t="shared" si="39"/>
        <v/>
      </c>
      <c r="AW45" s="161">
        <f>SUM(AK45:AV45)</f>
        <v>1.7467248908296942E-2</v>
      </c>
    </row>
    <row r="46" spans="1:50" ht="12.75" thickBot="1" x14ac:dyDescent="0.25">
      <c r="E46" s="94" t="s">
        <v>33</v>
      </c>
      <c r="F46" s="181">
        <f>F45*12</f>
        <v>7.8602620087336234E-2</v>
      </c>
      <c r="G46" s="182">
        <f>IFERROR(IF(G44="","",((F45+G45)/$G$2)*12),"")</f>
        <v>0.20879283546739691</v>
      </c>
      <c r="H46" s="182" t="str">
        <f>IFERROR(IF(H44="","",((F45+G45+H45)/$H$2)*12),"")</f>
        <v/>
      </c>
      <c r="I46" s="182" t="str">
        <f>IFERROR(IF(I44="","",((F45+G45+H45+I45)/$I$2)*12),"")</f>
        <v/>
      </c>
      <c r="J46" s="182" t="str">
        <f>IFERROR(IF(J44="","",((F45+G45+H45+I45+J45)/$J$2)*12),"")</f>
        <v/>
      </c>
      <c r="K46" s="182" t="str">
        <f>IFERROR(IF(K44="","",((F45+G45+H45+I45+J45+K45)/$K$2)*12),"")</f>
        <v/>
      </c>
      <c r="L46" s="182" t="str">
        <f>IFERROR(IF(L44="","",((F45+G45+H45+I45+J45+K45+L45)/$L$2)*12),"")</f>
        <v/>
      </c>
      <c r="M46" s="182" t="str">
        <f>IFERROR(IF(M44="","",((F45+G45+H45+I45+J45+K45+L45+M45)/$M$2)*12),"")</f>
        <v/>
      </c>
      <c r="N46" s="182" t="str">
        <f>IFERROR(IF(N44="","",((F45+G45+H45+I45+J45+K45+L45+M45+N45)/$N$2)*12),"")</f>
        <v/>
      </c>
      <c r="O46" s="182" t="str">
        <f>IFERROR(IF(O44="","",((F45+G45+H45+I45+J45+K45+L45+M45+N45+O45)/$O$2)*12),"")</f>
        <v/>
      </c>
      <c r="P46" s="182" t="str">
        <f>IFERROR(IF(P44="","",((F45+G45+H45+I45+J45+K45+L45+M45+N45+O45+P45)/$P$2)*12),"")</f>
        <v/>
      </c>
      <c r="Q46" s="182" t="str">
        <f>IFERROR(IF(Q44="","",((F45+G45+H45+I45+J45+K45+L45+M45+N45+O45+P45+Q45)/$Q$2)*12),"")</f>
        <v/>
      </c>
      <c r="R46" s="91">
        <f>(R43/(R44/12))</f>
        <v>0.22033898305084745</v>
      </c>
      <c r="T46" s="94" t="s">
        <v>33</v>
      </c>
      <c r="U46" s="181">
        <f>U45*12</f>
        <v>0.13100436681222707</v>
      </c>
      <c r="V46" s="182" t="str">
        <f>IFERROR(IF(V44="","",((U45+V45)/$G$2)*12),"")</f>
        <v/>
      </c>
      <c r="W46" s="182" t="str">
        <f>IFERROR(IF(W44="","",((U45+V45+W45)/$H$2)*12),"")</f>
        <v/>
      </c>
      <c r="X46" s="182" t="str">
        <f>IFERROR(IF(X44="","",((U45+V45+W45+X45)/$I$2)*12),"")</f>
        <v/>
      </c>
      <c r="Y46" s="182" t="str">
        <f>IFERROR(IF(Y44="","",((U45+V45+W45+X45+Y45)/$J$2)*12),"")</f>
        <v/>
      </c>
      <c r="Z46" s="182" t="str">
        <f>IFERROR(IF(Z44="","",((U45+V45+W45+X45+Y45+Z45)/$K$2)*12),"")</f>
        <v/>
      </c>
      <c r="AA46" s="182" t="str">
        <f>IFERROR(IF(AA44="","",((U45+V45+W45+X45+Y45+Z45+AA45)/$L$2)*12),"")</f>
        <v/>
      </c>
      <c r="AB46" s="182" t="str">
        <f>IFERROR(IF(AB44="","",((U45+V45+W45+X45+Y45+Z45+AA45+AB45)/$M$2)*12),"")</f>
        <v/>
      </c>
      <c r="AC46" s="182" t="str">
        <f>IFERROR(IF(AC44="","",((U45+V45+W45+X45+Y45+Z45+AA45+AB45+AC45)/$N$2)*12),"")</f>
        <v/>
      </c>
      <c r="AD46" s="182" t="str">
        <f>IFERROR(IF(AD44="","",((U45+V45+W45+X45+Y45+Z45+AA45+AB45+AC45+AD45)/$O$2)*12),"")</f>
        <v/>
      </c>
      <c r="AE46" s="182" t="str">
        <f>IFERROR(IF(AE44="","",((U45+V45+W45+X45+Y45+Z45+AA45+AB45+AC45+AD45+AE45)/$P$2)*12),"")</f>
        <v/>
      </c>
      <c r="AF46" s="182" t="str">
        <f>IFERROR(IF(AF44="","",((U45+V45+W45+X45+Y45+Z45+AA45+AB45+AC45+AD45+AE45+AF45)/$Q$2)*12),"")</f>
        <v/>
      </c>
      <c r="AG46" s="91">
        <f>(AG43/(AG44/12))</f>
        <v>8.4745762711864403E-2</v>
      </c>
      <c r="AH46" s="38"/>
      <c r="AI46" s="4"/>
      <c r="AJ46" s="94" t="s">
        <v>33</v>
      </c>
      <c r="AK46" s="181">
        <f>AK45*12</f>
        <v>0.20960698689956331</v>
      </c>
      <c r="AL46" s="182" t="str">
        <f>IFERROR(IF(AL44="","",((AK45+AL45)/$G$2)*12),"")</f>
        <v/>
      </c>
      <c r="AM46" s="182" t="str">
        <f>IFERROR(IF(AM44="","",((AK45+AL45+AM45)/$H$2)*12),"")</f>
        <v/>
      </c>
      <c r="AN46" s="182" t="str">
        <f>IFERROR(IF(AN44="","",((AK45+AL45+AM45+AN45)/$I$2)*12),"")</f>
        <v/>
      </c>
      <c r="AO46" s="182" t="str">
        <f>IFERROR(IF(AO44="","",((AK45+AL45+AM45+AN45+AO45)/$J$2)*12),"")</f>
        <v/>
      </c>
      <c r="AP46" s="182" t="str">
        <f>IFERROR(IF(AP44="","",((AK45+AL45+AM45+AN45+AO45+AP45)/$K$2)*12),"")</f>
        <v/>
      </c>
      <c r="AQ46" s="182" t="str">
        <f>IFERROR(IF(AQ44="","",((AK45+AL45+AM45+AN45+AO45+AP45+AQ45)/$L$2)*12),"")</f>
        <v/>
      </c>
      <c r="AR46" s="182" t="str">
        <f>IFERROR(IF(AR44="","",((AK45+AL45+AM45+AN45+AO45+AP45+AQ45+AR45)/$M$2)*12),"")</f>
        <v/>
      </c>
      <c r="AS46" s="182" t="str">
        <f>IFERROR(IF(AS44="","",((AK45+AL45+AM45+AN45+AO45+AP45+AQ45+AR45+AS45)/$N$2)*12),"")</f>
        <v/>
      </c>
      <c r="AT46" s="182" t="str">
        <f>IFERROR(IF(AT44="","",((AK45+AL45+AM45+AN45+AO45+AP45+AQ45+AR45+AS45+AT45)/$O$2)*12),"")</f>
        <v/>
      </c>
      <c r="AU46" s="182" t="str">
        <f>IFERROR(IF(AU44="","",((AK45+AL45+AM45+AN45+AO45+AP45+AQ45+AR45+AS45+AT45+AU45)/$P$2)*12),"")</f>
        <v/>
      </c>
      <c r="AV46" s="182" t="str">
        <f>IFERROR(IF(AV44="","",((AK45+AL45+AM45+AN45+AO45+AP45+AQ45+AR45+AS45+AT45+AU45+AV45)/$Q$2)*12),"")</f>
        <v/>
      </c>
      <c r="AW46" s="91">
        <f>(AW43/(AW44/12))</f>
        <v>0.13559322033898305</v>
      </c>
    </row>
    <row r="47" spans="1:50" s="50" customFormat="1" hidden="1" x14ac:dyDescent="0.2">
      <c r="E47" s="103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99"/>
      <c r="T47" s="10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99"/>
      <c r="AH47" s="102"/>
      <c r="AI47" s="100"/>
      <c r="AJ47" s="103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99"/>
    </row>
    <row r="48" spans="1:50" s="50" customFormat="1" hidden="1" x14ac:dyDescent="0.2">
      <c r="E48" s="103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9"/>
      <c r="T48" s="100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99"/>
      <c r="AH48" s="102"/>
      <c r="AI48" s="100"/>
      <c r="AJ48" s="103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99"/>
    </row>
    <row r="49" spans="1:49" s="50" customFormat="1" hidden="1" x14ac:dyDescent="0.2">
      <c r="E49" s="118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99"/>
      <c r="T49" s="115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99"/>
      <c r="AH49" s="102"/>
      <c r="AI49" s="100"/>
      <c r="AJ49" s="118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99"/>
    </row>
    <row r="50" spans="1:49" s="155" customFormat="1" x14ac:dyDescent="0.2">
      <c r="E50" s="158" t="s">
        <v>19</v>
      </c>
      <c r="F50" s="151">
        <f>(F31+F12)/2</f>
        <v>0.04</v>
      </c>
      <c r="G50" s="151">
        <f t="shared" ref="G50:Q50" si="40">(G31+G12)/2</f>
        <v>0.04</v>
      </c>
      <c r="H50" s="151">
        <f t="shared" si="40"/>
        <v>0.04</v>
      </c>
      <c r="I50" s="151">
        <f t="shared" si="40"/>
        <v>0.04</v>
      </c>
      <c r="J50" s="151">
        <f t="shared" si="40"/>
        <v>0.04</v>
      </c>
      <c r="K50" s="151">
        <f t="shared" si="40"/>
        <v>0.04</v>
      </c>
      <c r="L50" s="151">
        <f t="shared" si="40"/>
        <v>0.04</v>
      </c>
      <c r="M50" s="151">
        <f t="shared" si="40"/>
        <v>0.04</v>
      </c>
      <c r="N50" s="151">
        <f t="shared" si="40"/>
        <v>0.04</v>
      </c>
      <c r="O50" s="151">
        <f t="shared" si="40"/>
        <v>0.04</v>
      </c>
      <c r="P50" s="151">
        <f t="shared" si="40"/>
        <v>0.04</v>
      </c>
      <c r="Q50" s="151">
        <f t="shared" si="40"/>
        <v>0.04</v>
      </c>
      <c r="R50" s="156"/>
      <c r="T50" s="150" t="s">
        <v>19</v>
      </c>
      <c r="U50" s="151">
        <f>(U31+U12)/2</f>
        <v>7.0000000000000007E-2</v>
      </c>
      <c r="V50" s="151">
        <f t="shared" ref="V50:AF50" si="41">(V31+V12)/2</f>
        <v>7.0000000000000007E-2</v>
      </c>
      <c r="W50" s="151">
        <f t="shared" si="41"/>
        <v>7.0000000000000007E-2</v>
      </c>
      <c r="X50" s="151">
        <f t="shared" si="41"/>
        <v>7.0000000000000007E-2</v>
      </c>
      <c r="Y50" s="151">
        <f t="shared" si="41"/>
        <v>7.0000000000000007E-2</v>
      </c>
      <c r="Z50" s="151">
        <f t="shared" si="41"/>
        <v>7.0000000000000007E-2</v>
      </c>
      <c r="AA50" s="151">
        <f t="shared" si="41"/>
        <v>7.0000000000000007E-2</v>
      </c>
      <c r="AB50" s="151">
        <f t="shared" si="41"/>
        <v>7.0000000000000007E-2</v>
      </c>
      <c r="AC50" s="151">
        <f t="shared" si="41"/>
        <v>7.0000000000000007E-2</v>
      </c>
      <c r="AD50" s="151">
        <f t="shared" si="41"/>
        <v>7.0000000000000007E-2</v>
      </c>
      <c r="AE50" s="151">
        <f t="shared" si="41"/>
        <v>7.0000000000000007E-2</v>
      </c>
      <c r="AF50" s="151">
        <f t="shared" si="41"/>
        <v>7.0000000000000007E-2</v>
      </c>
      <c r="AG50" s="156"/>
      <c r="AH50" s="157"/>
      <c r="AI50" s="159"/>
      <c r="AJ50" s="150" t="s">
        <v>19</v>
      </c>
      <c r="AK50" s="151">
        <f>(AK31+AK12)/2</f>
        <v>0.11000000000000001</v>
      </c>
      <c r="AL50" s="151">
        <f t="shared" ref="AL50:AV50" si="42">(AL31+AL12)/2</f>
        <v>0.11000000000000001</v>
      </c>
      <c r="AM50" s="151">
        <f t="shared" si="42"/>
        <v>0.11000000000000001</v>
      </c>
      <c r="AN50" s="151">
        <f t="shared" si="42"/>
        <v>0.11000000000000001</v>
      </c>
      <c r="AO50" s="151">
        <f t="shared" si="42"/>
        <v>0.11000000000000001</v>
      </c>
      <c r="AP50" s="151">
        <f t="shared" si="42"/>
        <v>0.11000000000000001</v>
      </c>
      <c r="AQ50" s="151">
        <f t="shared" si="42"/>
        <v>0.11000000000000001</v>
      </c>
      <c r="AR50" s="151">
        <f t="shared" si="42"/>
        <v>0.11000000000000001</v>
      </c>
      <c r="AS50" s="151">
        <f t="shared" si="42"/>
        <v>0.11000000000000001</v>
      </c>
      <c r="AT50" s="151">
        <f t="shared" si="42"/>
        <v>0.11000000000000001</v>
      </c>
      <c r="AU50" s="151">
        <f t="shared" si="42"/>
        <v>0.11000000000000001</v>
      </c>
      <c r="AV50" s="151">
        <f t="shared" si="42"/>
        <v>0.11000000000000001</v>
      </c>
      <c r="AW50" s="156"/>
    </row>
    <row r="51" spans="1:49" s="110" customFormat="1" x14ac:dyDescent="0.2">
      <c r="E51" s="109" t="s">
        <v>20</v>
      </c>
      <c r="F51" s="106">
        <f>(F13+F32)/2</f>
        <v>3.3333333333333335E-3</v>
      </c>
      <c r="G51" s="106">
        <f t="shared" ref="G51:Q51" si="43">(G13+G32)/2</f>
        <v>3.3333333333333335E-3</v>
      </c>
      <c r="H51" s="106">
        <f t="shared" si="43"/>
        <v>3.3333333333333335E-3</v>
      </c>
      <c r="I51" s="106">
        <f t="shared" si="43"/>
        <v>3.3333333333333335E-3</v>
      </c>
      <c r="J51" s="106">
        <f t="shared" si="43"/>
        <v>3.3333333333333335E-3</v>
      </c>
      <c r="K51" s="106">
        <f t="shared" si="43"/>
        <v>3.3333333333333335E-3</v>
      </c>
      <c r="L51" s="106">
        <f t="shared" si="43"/>
        <v>3.3333333333333335E-3</v>
      </c>
      <c r="M51" s="106">
        <f t="shared" si="43"/>
        <v>3.3333333333333335E-3</v>
      </c>
      <c r="N51" s="106">
        <f t="shared" si="43"/>
        <v>3.3333333333333335E-3</v>
      </c>
      <c r="O51" s="106">
        <f t="shared" si="43"/>
        <v>3.3333333333333335E-3</v>
      </c>
      <c r="P51" s="106">
        <f t="shared" si="43"/>
        <v>3.3333333333333335E-3</v>
      </c>
      <c r="Q51" s="106">
        <f t="shared" si="43"/>
        <v>3.3333333333333335E-3</v>
      </c>
      <c r="R51" s="112"/>
      <c r="T51" s="109" t="s">
        <v>20</v>
      </c>
      <c r="U51" s="106">
        <f>(U13+U32)/2</f>
        <v>5.8333333333333336E-3</v>
      </c>
      <c r="V51" s="106">
        <f t="shared" ref="V51:AF51" si="44">(V13+V32)/2</f>
        <v>5.8333333333333336E-3</v>
      </c>
      <c r="W51" s="106">
        <f t="shared" si="44"/>
        <v>5.8333333333333336E-3</v>
      </c>
      <c r="X51" s="106">
        <f t="shared" si="44"/>
        <v>5.8333333333333336E-3</v>
      </c>
      <c r="Y51" s="106">
        <f t="shared" si="44"/>
        <v>5.8333333333333336E-3</v>
      </c>
      <c r="Z51" s="106">
        <f t="shared" si="44"/>
        <v>5.8333333333333336E-3</v>
      </c>
      <c r="AA51" s="106">
        <f t="shared" si="44"/>
        <v>5.8333333333333336E-3</v>
      </c>
      <c r="AB51" s="106">
        <f t="shared" si="44"/>
        <v>5.8333333333333336E-3</v>
      </c>
      <c r="AC51" s="106">
        <f t="shared" si="44"/>
        <v>5.8333333333333336E-3</v>
      </c>
      <c r="AD51" s="106">
        <f t="shared" si="44"/>
        <v>5.8333333333333336E-3</v>
      </c>
      <c r="AE51" s="106">
        <f t="shared" si="44"/>
        <v>5.8333333333333336E-3</v>
      </c>
      <c r="AF51" s="106">
        <f t="shared" si="44"/>
        <v>5.8333333333333336E-3</v>
      </c>
      <c r="AG51" s="112"/>
      <c r="AH51" s="113"/>
      <c r="AI51" s="138"/>
      <c r="AJ51" s="109" t="s">
        <v>20</v>
      </c>
      <c r="AK51" s="106">
        <f>(AK13+AK32)/2</f>
        <v>9.1666666666666667E-3</v>
      </c>
      <c r="AL51" s="106">
        <f t="shared" ref="AL51:AV51" si="45">(AL13+AL32)/2</f>
        <v>9.1666666666666667E-3</v>
      </c>
      <c r="AM51" s="106">
        <f t="shared" si="45"/>
        <v>9.1666666666666667E-3</v>
      </c>
      <c r="AN51" s="106">
        <f t="shared" si="45"/>
        <v>9.1666666666666667E-3</v>
      </c>
      <c r="AO51" s="106">
        <f t="shared" si="45"/>
        <v>9.1666666666666667E-3</v>
      </c>
      <c r="AP51" s="106">
        <f t="shared" si="45"/>
        <v>9.1666666666666667E-3</v>
      </c>
      <c r="AQ51" s="106">
        <f t="shared" si="45"/>
        <v>9.1666666666666667E-3</v>
      </c>
      <c r="AR51" s="106">
        <f t="shared" si="45"/>
        <v>9.1666666666666667E-3</v>
      </c>
      <c r="AS51" s="106">
        <f t="shared" si="45"/>
        <v>9.1666666666666667E-3</v>
      </c>
      <c r="AT51" s="106">
        <f t="shared" si="45"/>
        <v>9.1666666666666667E-3</v>
      </c>
      <c r="AU51" s="106">
        <f t="shared" si="45"/>
        <v>9.1666666666666667E-3</v>
      </c>
      <c r="AV51" s="106">
        <f t="shared" si="45"/>
        <v>9.1666666666666667E-3</v>
      </c>
      <c r="AW51" s="112"/>
    </row>
    <row r="52" spans="1:49" s="50" customFormat="1" hidden="1" x14ac:dyDescent="0.2">
      <c r="E52" s="114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99"/>
      <c r="T52" s="115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99"/>
      <c r="AH52" s="102"/>
      <c r="AI52" s="100"/>
      <c r="AJ52" s="114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99"/>
    </row>
    <row r="53" spans="1:49" s="50" customFormat="1" hidden="1" x14ac:dyDescent="0.2">
      <c r="E53" s="114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99"/>
      <c r="T53" s="115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99"/>
      <c r="AH53" s="102"/>
      <c r="AI53" s="100"/>
      <c r="AJ53" s="114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99"/>
    </row>
    <row r="54" spans="1:49" s="50" customFormat="1" hidden="1" x14ac:dyDescent="0.2">
      <c r="E54" s="118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99"/>
      <c r="T54" s="114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99"/>
      <c r="AH54" s="102"/>
      <c r="AI54" s="100"/>
      <c r="AJ54" s="118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99"/>
    </row>
    <row r="55" spans="1:49" s="50" customFormat="1" hidden="1" x14ac:dyDescent="0.2">
      <c r="E55" s="118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99"/>
      <c r="T55" s="114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99"/>
      <c r="AH55" s="102"/>
      <c r="AI55" s="100"/>
      <c r="AJ55" s="118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99"/>
    </row>
    <row r="56" spans="1:49" s="50" customFormat="1" hidden="1" x14ac:dyDescent="0.2">
      <c r="E56" s="114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T56" s="114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99"/>
      <c r="AH56" s="102"/>
      <c r="AI56" s="100"/>
      <c r="AJ56" s="114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99"/>
    </row>
    <row r="57" spans="1:49" s="50" customFormat="1" x14ac:dyDescent="0.2">
      <c r="E57" s="127"/>
      <c r="H57" s="139"/>
      <c r="I57" s="139"/>
      <c r="J57" s="139"/>
      <c r="K57" s="139"/>
      <c r="L57" s="139"/>
      <c r="M57" s="139"/>
      <c r="N57" s="139"/>
      <c r="O57" s="139"/>
      <c r="P57" s="140"/>
      <c r="Q57" s="140"/>
      <c r="R57" s="130"/>
      <c r="T57" s="127"/>
      <c r="U57" s="127"/>
      <c r="V57" s="127"/>
      <c r="W57" s="123"/>
      <c r="X57" s="123"/>
      <c r="Y57" s="123"/>
      <c r="Z57" s="123"/>
      <c r="AA57" s="123"/>
      <c r="AB57" s="100"/>
      <c r="AC57" s="100"/>
      <c r="AD57" s="100"/>
      <c r="AE57" s="100"/>
      <c r="AF57" s="100"/>
      <c r="AG57" s="99"/>
      <c r="AH57" s="102"/>
      <c r="AI57" s="51"/>
      <c r="AJ57" s="51"/>
      <c r="AK57" s="51"/>
      <c r="AL57" s="51"/>
      <c r="AM57" s="51"/>
      <c r="AN57" s="51"/>
      <c r="AW57" s="53"/>
    </row>
    <row r="58" spans="1:49" s="50" customFormat="1" x14ac:dyDescent="0.2">
      <c r="P58" s="51"/>
      <c r="Q58" s="51"/>
      <c r="R58" s="52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2"/>
      <c r="AI58" s="51"/>
      <c r="AJ58" s="51"/>
      <c r="AK58" s="51"/>
      <c r="AL58" s="51"/>
      <c r="AM58" s="51"/>
      <c r="AN58" s="51"/>
      <c r="AW58" s="53"/>
    </row>
    <row r="59" spans="1:49" s="50" customFormat="1" x14ac:dyDescent="0.2">
      <c r="P59" s="51"/>
      <c r="Q59" s="51"/>
      <c r="R59" s="52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2"/>
      <c r="AI59" s="51"/>
      <c r="AJ59" s="51"/>
      <c r="AK59" s="51"/>
      <c r="AL59" s="51"/>
      <c r="AM59" s="51"/>
      <c r="AN59" s="51"/>
      <c r="AW59" s="53"/>
    </row>
    <row r="60" spans="1:49" s="50" customFormat="1" x14ac:dyDescent="0.2">
      <c r="P60" s="51"/>
      <c r="Q60" s="51"/>
      <c r="R60" s="52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2"/>
      <c r="AI60" s="51"/>
      <c r="AJ60" s="51"/>
      <c r="AK60" s="51"/>
      <c r="AL60" s="51"/>
      <c r="AM60" s="51"/>
      <c r="AN60" s="51"/>
      <c r="AW60" s="53"/>
    </row>
    <row r="61" spans="1:49" s="50" customFormat="1" x14ac:dyDescent="0.2">
      <c r="P61" s="51"/>
      <c r="Q61" s="51"/>
      <c r="R61" s="52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2"/>
      <c r="AI61" s="51"/>
      <c r="AJ61" s="51"/>
      <c r="AK61" s="51"/>
      <c r="AL61" s="51"/>
      <c r="AM61" s="51"/>
      <c r="AN61" s="51"/>
      <c r="AW61" s="53"/>
    </row>
    <row r="62" spans="1:49" s="50" customFormat="1" x14ac:dyDescent="0.2">
      <c r="P62" s="51"/>
      <c r="Q62" s="51"/>
      <c r="R62" s="52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2"/>
      <c r="AI62" s="51"/>
      <c r="AJ62" s="51"/>
      <c r="AK62" s="51"/>
      <c r="AL62" s="51"/>
      <c r="AM62" s="51"/>
      <c r="AN62" s="51"/>
      <c r="AW62" s="53"/>
    </row>
    <row r="63" spans="1:49" s="75" customFormat="1" ht="13.9" customHeight="1" x14ac:dyDescent="0.25"/>
    <row r="64" spans="1:49" s="75" customFormat="1" ht="15" x14ac:dyDescent="0.25">
      <c r="A64" s="100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P64" s="100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</row>
    <row r="65" spans="1:49" s="75" customFormat="1" ht="15" x14ac:dyDescent="0.25">
      <c r="A65" s="100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7"/>
      <c r="P65" s="100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7"/>
    </row>
    <row r="66" spans="1:49" s="75" customFormat="1" ht="15" x14ac:dyDescent="0.25">
      <c r="A66" s="142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P66" s="142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</row>
    <row r="67" spans="1:49" s="75" customFormat="1" ht="15" x14ac:dyDescent="0.25">
      <c r="A67" s="142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P67" s="142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</row>
    <row r="68" spans="1:49" s="75" customFormat="1" ht="15" x14ac:dyDescent="0.25">
      <c r="A68" s="142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P68" s="142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</row>
    <row r="69" spans="1:49" s="145" customFormat="1" ht="15" x14ac:dyDescent="0.25">
      <c r="A69" s="144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P69" s="144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</row>
    <row r="70" spans="1:49" s="145" customFormat="1" ht="15" x14ac:dyDescent="0.25"/>
    <row r="71" spans="1:49" s="145" customFormat="1" ht="15" x14ac:dyDescent="0.25"/>
    <row r="72" spans="1:49" s="50" customFormat="1" x14ac:dyDescent="0.2">
      <c r="P72" s="51"/>
      <c r="Q72" s="51"/>
      <c r="R72" s="52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2"/>
      <c r="AI72" s="51"/>
      <c r="AJ72" s="51"/>
      <c r="AK72" s="51"/>
      <c r="AL72" s="51"/>
      <c r="AM72" s="51"/>
      <c r="AN72" s="51"/>
      <c r="AW72" s="53"/>
    </row>
    <row r="73" spans="1:49" s="50" customFormat="1" x14ac:dyDescent="0.2">
      <c r="P73" s="51"/>
      <c r="Q73" s="51"/>
      <c r="R73" s="52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2"/>
      <c r="AI73" s="51"/>
      <c r="AJ73" s="51"/>
      <c r="AK73" s="51"/>
      <c r="AL73" s="51"/>
      <c r="AM73" s="51"/>
      <c r="AN73" s="51"/>
      <c r="AW73" s="53"/>
    </row>
    <row r="74" spans="1:49" s="50" customFormat="1" x14ac:dyDescent="0.2">
      <c r="P74" s="51"/>
      <c r="Q74" s="51"/>
      <c r="R74" s="52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  <c r="AI74" s="51"/>
      <c r="AJ74" s="51"/>
      <c r="AK74" s="51"/>
      <c r="AL74" s="51"/>
      <c r="AM74" s="51"/>
      <c r="AN74" s="51"/>
      <c r="AW74" s="53"/>
    </row>
    <row r="75" spans="1:49" s="50" customFormat="1" x14ac:dyDescent="0.2">
      <c r="F75" s="53"/>
      <c r="U75" s="53"/>
      <c r="AK75" s="53"/>
    </row>
    <row r="76" spans="1:49" s="50" customFormat="1" x14ac:dyDescent="0.2">
      <c r="F76" s="53"/>
      <c r="U76" s="53"/>
      <c r="AK76" s="53"/>
    </row>
    <row r="77" spans="1:49" s="50" customFormat="1" x14ac:dyDescent="0.2">
      <c r="F77" s="53"/>
      <c r="U77" s="53"/>
      <c r="AK77" s="53"/>
    </row>
    <row r="78" spans="1:49" s="50" customFormat="1" x14ac:dyDescent="0.2">
      <c r="F78" s="53"/>
      <c r="U78" s="53"/>
      <c r="AK78" s="53"/>
    </row>
    <row r="79" spans="1:49" s="50" customFormat="1" x14ac:dyDescent="0.2">
      <c r="F79" s="53"/>
      <c r="U79" s="53"/>
      <c r="AK79" s="53"/>
    </row>
    <row r="80" spans="1:49" s="50" customFormat="1" x14ac:dyDescent="0.2">
      <c r="F80" s="53"/>
      <c r="U80" s="53"/>
      <c r="AK80" s="53"/>
    </row>
    <row r="81" spans="6:49" s="50" customFormat="1" x14ac:dyDescent="0.2">
      <c r="F81" s="53"/>
      <c r="U81" s="53"/>
      <c r="AK81" s="53"/>
    </row>
    <row r="82" spans="6:49" s="50" customFormat="1" x14ac:dyDescent="0.2">
      <c r="F82" s="53"/>
      <c r="U82" s="53"/>
      <c r="AK82" s="53"/>
    </row>
    <row r="83" spans="6:49" s="50" customFormat="1" x14ac:dyDescent="0.2">
      <c r="F83" s="53"/>
      <c r="U83" s="53"/>
      <c r="AK83" s="53"/>
    </row>
    <row r="84" spans="6:49" x14ac:dyDescent="0.2">
      <c r="F84" s="33"/>
      <c r="R84" s="6"/>
      <c r="U84" s="33"/>
      <c r="AG84" s="6"/>
      <c r="AK84" s="33"/>
      <c r="AW84" s="6"/>
    </row>
    <row r="85" spans="6:49" x14ac:dyDescent="0.2">
      <c r="F85" s="33"/>
      <c r="R85" s="6"/>
      <c r="U85" s="33"/>
      <c r="AG85" s="6"/>
      <c r="AK85" s="33"/>
      <c r="AW85" s="6"/>
    </row>
    <row r="86" spans="6:49" x14ac:dyDescent="0.2">
      <c r="F86" s="33"/>
      <c r="R86" s="6"/>
      <c r="U86" s="33"/>
      <c r="AG86" s="6"/>
      <c r="AK86" s="33"/>
      <c r="AW86" s="6"/>
    </row>
  </sheetData>
  <sheetProtection pivotTables="0"/>
  <mergeCells count="13">
    <mergeCell ref="U4:AF4"/>
    <mergeCell ref="U22:AF22"/>
    <mergeCell ref="AK22:AV22"/>
    <mergeCell ref="AK4:AV4"/>
    <mergeCell ref="F41:Q41"/>
    <mergeCell ref="F4:Q4"/>
    <mergeCell ref="B64:N64"/>
    <mergeCell ref="Q64:AC64"/>
    <mergeCell ref="B22:C22"/>
    <mergeCell ref="B41:C41"/>
    <mergeCell ref="AK41:AV41"/>
    <mergeCell ref="U41:AF41"/>
    <mergeCell ref="F22:Q22"/>
  </mergeCells>
  <pageMargins left="0.7" right="0.7" top="0.75" bottom="0.75" header="0.3" footer="0.3"/>
  <pageSetup orientation="portrait" r:id="rId1"/>
  <ignoredErrors>
    <ignoredError sqref="G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04EF2-AC25-4D30-8F8C-07DA180C2BBC}">
  <dimension ref="B2:O24"/>
  <sheetViews>
    <sheetView topLeftCell="A10" workbookViewId="0">
      <selection activeCell="B23" sqref="B23"/>
    </sheetView>
  </sheetViews>
  <sheetFormatPr baseColWidth="10" defaultRowHeight="15" x14ac:dyDescent="0.25"/>
  <cols>
    <col min="1" max="1" width="2.140625" style="192" customWidth="1"/>
    <col min="2" max="2" width="65.5703125" style="192" customWidth="1"/>
    <col min="3" max="3" width="14.5703125" style="192" customWidth="1"/>
    <col min="4" max="4" width="15.7109375" style="192" customWidth="1"/>
    <col min="5" max="5" width="14.140625" style="192" customWidth="1"/>
    <col min="6" max="6" width="13.42578125" style="192" customWidth="1"/>
    <col min="7" max="7" width="14" style="192" customWidth="1"/>
    <col min="8" max="8" width="13.85546875" style="192" customWidth="1"/>
    <col min="9" max="9" width="13.28515625" style="192" customWidth="1"/>
    <col min="10" max="10" width="13.140625" style="192" customWidth="1"/>
    <col min="11" max="11" width="13.85546875" style="192" customWidth="1"/>
    <col min="12" max="14" width="15.140625" style="192" customWidth="1"/>
    <col min="15" max="15" width="16.28515625" style="192" customWidth="1"/>
    <col min="16" max="16384" width="11.42578125" style="192"/>
  </cols>
  <sheetData>
    <row r="2" spans="2:15" ht="18.75" customHeight="1" x14ac:dyDescent="0.25">
      <c r="B2" s="216" t="s">
        <v>71</v>
      </c>
      <c r="C2" s="217">
        <f>'Captura Info'!F6</f>
        <v>3</v>
      </c>
      <c r="D2" s="217">
        <f>'Captura Info'!G6</f>
        <v>8</v>
      </c>
      <c r="E2" s="217">
        <f>'Captura Info'!H6</f>
        <v>1</v>
      </c>
      <c r="F2" s="217">
        <f>'Captura Info'!I6</f>
        <v>6</v>
      </c>
      <c r="G2" s="217">
        <f>'Captura Info'!J6</f>
        <v>6</v>
      </c>
      <c r="H2" s="217">
        <f>'Captura Info'!K6</f>
        <v>7</v>
      </c>
      <c r="I2" s="217">
        <f>'Captura Info'!L6</f>
        <v>8</v>
      </c>
      <c r="J2" s="217">
        <f>'Captura Info'!M6</f>
        <v>8</v>
      </c>
      <c r="K2" s="217">
        <f>'Captura Info'!N6</f>
        <v>4</v>
      </c>
      <c r="L2" s="217">
        <f>'Captura Info'!O6</f>
        <v>4</v>
      </c>
      <c r="M2" s="217">
        <f>'Captura Info'!P6</f>
        <v>4</v>
      </c>
      <c r="N2" s="217">
        <f>'Captura Info'!Q6</f>
        <v>3</v>
      </c>
      <c r="O2" s="217">
        <f>'Captura Info'!R6</f>
        <v>62</v>
      </c>
    </row>
    <row r="3" spans="2:15" ht="18.75" customHeight="1" x14ac:dyDescent="0.25">
      <c r="B3" s="216" t="s">
        <v>66</v>
      </c>
      <c r="C3" s="217">
        <f>'Captura Info'!F7-('Captura Info'!C7-'Captura Info'!F6)</f>
        <v>3</v>
      </c>
      <c r="D3" s="217">
        <f>'Captura Info'!G7-('Captura Info'!F7-'Captura Info'!G6)</f>
        <v>1</v>
      </c>
      <c r="E3" s="217">
        <f>'Captura Info'!H7-('Captura Info'!G7-'Captura Info'!H6)</f>
        <v>8</v>
      </c>
      <c r="F3" s="217">
        <f>'Captura Info'!I7-('Captura Info'!H7-'Captura Info'!I6)</f>
        <v>0</v>
      </c>
      <c r="G3" s="217">
        <f>'Captura Info'!J7-('Captura Info'!I7-'Captura Info'!J6)</f>
        <v>3</v>
      </c>
      <c r="H3" s="217">
        <f>'Captura Info'!K7-('Captura Info'!J7-'Captura Info'!K6)</f>
        <v>14</v>
      </c>
      <c r="I3" s="217">
        <f>'Captura Info'!L7-('Captura Info'!K7-'Captura Info'!L6)</f>
        <v>3</v>
      </c>
      <c r="J3" s="217">
        <f>'Captura Info'!M7-('Captura Info'!L7-'Captura Info'!M6)</f>
        <v>11</v>
      </c>
      <c r="K3" s="217">
        <f>'Captura Info'!N7-('Captura Info'!M7-'Captura Info'!N6)</f>
        <v>8</v>
      </c>
      <c r="L3" s="217">
        <f>'Captura Info'!O7-('Captura Info'!N7-'Captura Info'!O6)</f>
        <v>2</v>
      </c>
      <c r="M3" s="217">
        <f>'Captura Info'!P7-('Captura Info'!O7-'Captura Info'!P6)</f>
        <v>0</v>
      </c>
      <c r="N3" s="217">
        <f>'Captura Info'!Q7-('Captura Info'!P7-'Captura Info'!Q6)</f>
        <v>9</v>
      </c>
      <c r="O3" s="215">
        <f>SUM(C3:N3)</f>
        <v>62</v>
      </c>
    </row>
    <row r="4" spans="2:15" ht="18.75" customHeight="1" x14ac:dyDescent="0.25">
      <c r="B4" s="209" t="s">
        <v>53</v>
      </c>
      <c r="C4" s="194" t="s">
        <v>47</v>
      </c>
      <c r="D4" s="194" t="s">
        <v>48</v>
      </c>
      <c r="E4" s="194" t="s">
        <v>54</v>
      </c>
      <c r="F4" s="194" t="s">
        <v>55</v>
      </c>
      <c r="G4" s="194" t="s">
        <v>56</v>
      </c>
      <c r="H4" s="194" t="s">
        <v>57</v>
      </c>
      <c r="I4" s="194" t="s">
        <v>58</v>
      </c>
      <c r="J4" s="194" t="s">
        <v>59</v>
      </c>
      <c r="K4" s="194" t="s">
        <v>60</v>
      </c>
      <c r="L4" s="194" t="s">
        <v>61</v>
      </c>
      <c r="M4" s="194" t="s">
        <v>63</v>
      </c>
      <c r="N4" s="194" t="s">
        <v>64</v>
      </c>
      <c r="O4" s="194" t="s">
        <v>65</v>
      </c>
    </row>
    <row r="5" spans="2:15" ht="18.75" customHeight="1" x14ac:dyDescent="0.25">
      <c r="B5" s="199" t="s">
        <v>45</v>
      </c>
      <c r="C5" s="196"/>
      <c r="D5" s="196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197"/>
    </row>
    <row r="6" spans="2:15" ht="18.75" customHeight="1" x14ac:dyDescent="0.25">
      <c r="B6" s="195" t="s">
        <v>42</v>
      </c>
      <c r="C6" s="197">
        <v>3000</v>
      </c>
      <c r="D6" s="197">
        <v>3000</v>
      </c>
      <c r="E6" s="197">
        <v>3000</v>
      </c>
      <c r="F6" s="197">
        <v>3000</v>
      </c>
      <c r="G6" s="197">
        <v>3000</v>
      </c>
      <c r="H6" s="197">
        <v>3000</v>
      </c>
      <c r="I6" s="197">
        <v>3000</v>
      </c>
      <c r="J6" s="197">
        <v>3000</v>
      </c>
      <c r="K6" s="197">
        <v>3000</v>
      </c>
      <c r="L6" s="197">
        <v>3000</v>
      </c>
      <c r="M6" s="197">
        <v>3000</v>
      </c>
      <c r="N6" s="197">
        <v>3000</v>
      </c>
      <c r="O6" s="200">
        <f>SUM(Tabla1[[#This Row],[oct-21]:[sep-22]])</f>
        <v>36000</v>
      </c>
    </row>
    <row r="7" spans="2:15" ht="18.75" customHeight="1" x14ac:dyDescent="0.25">
      <c r="B7" s="195" t="s">
        <v>43</v>
      </c>
      <c r="C7" s="197">
        <v>5000</v>
      </c>
      <c r="D7" s="197">
        <v>1200</v>
      </c>
      <c r="E7" s="197">
        <v>20000</v>
      </c>
      <c r="F7" s="197">
        <v>0</v>
      </c>
      <c r="G7" s="197">
        <v>9100</v>
      </c>
      <c r="H7" s="197">
        <v>12600</v>
      </c>
      <c r="I7" s="197">
        <v>5000</v>
      </c>
      <c r="J7" s="197">
        <v>9100</v>
      </c>
      <c r="K7" s="197">
        <v>7000</v>
      </c>
      <c r="L7" s="197">
        <v>5000</v>
      </c>
      <c r="M7" s="197">
        <v>0</v>
      </c>
      <c r="N7" s="197">
        <v>5000</v>
      </c>
      <c r="O7" s="200">
        <f>SUM(Tabla1[[#This Row],[oct-21]:[sep-22]])</f>
        <v>79000</v>
      </c>
    </row>
    <row r="8" spans="2:15" ht="18.75" customHeight="1" x14ac:dyDescent="0.25">
      <c r="B8" s="195" t="s">
        <v>44</v>
      </c>
      <c r="C8" s="197">
        <v>4100</v>
      </c>
      <c r="D8" s="197">
        <v>5000</v>
      </c>
      <c r="E8" s="197">
        <v>5900</v>
      </c>
      <c r="F8" s="197">
        <v>3000</v>
      </c>
      <c r="G8" s="197">
        <v>7700</v>
      </c>
      <c r="H8" s="197">
        <v>15500</v>
      </c>
      <c r="I8" s="197">
        <v>6000</v>
      </c>
      <c r="J8" s="197">
        <v>7000</v>
      </c>
      <c r="K8" s="197">
        <v>5400</v>
      </c>
      <c r="L8" s="197">
        <v>6200</v>
      </c>
      <c r="M8" s="197">
        <v>5000</v>
      </c>
      <c r="N8" s="197">
        <v>6000</v>
      </c>
      <c r="O8" s="200">
        <f>SUM(Tabla1[[#This Row],[oct-21]:[sep-22]])</f>
        <v>76800</v>
      </c>
    </row>
    <row r="9" spans="2:15" ht="18.75" customHeight="1" x14ac:dyDescent="0.25">
      <c r="B9" s="195" t="s">
        <v>46</v>
      </c>
      <c r="C9" s="197">
        <v>0</v>
      </c>
      <c r="D9" s="198" t="s">
        <v>49</v>
      </c>
      <c r="E9" s="197">
        <v>0</v>
      </c>
      <c r="F9" s="198" t="s">
        <v>49</v>
      </c>
      <c r="G9" s="197">
        <v>0</v>
      </c>
      <c r="H9" s="198" t="s">
        <v>49</v>
      </c>
      <c r="I9" s="197">
        <v>0</v>
      </c>
      <c r="J9" s="198" t="s">
        <v>49</v>
      </c>
      <c r="K9" s="197">
        <v>0</v>
      </c>
      <c r="L9" s="198">
        <v>0</v>
      </c>
      <c r="M9" s="197">
        <v>0</v>
      </c>
      <c r="N9" s="197">
        <v>0</v>
      </c>
      <c r="O9" s="200">
        <f>SUM(Tabla1[[#This Row],[oct-21]:[sep-22]])</f>
        <v>0</v>
      </c>
    </row>
    <row r="10" spans="2:15" ht="18.75" customHeight="1" x14ac:dyDescent="0.25">
      <c r="B10" s="199" t="s">
        <v>67</v>
      </c>
      <c r="C10" s="200">
        <f>SUM(C6:C9)</f>
        <v>12100</v>
      </c>
      <c r="D10" s="200">
        <f>SUM(D6:D9)</f>
        <v>9200</v>
      </c>
      <c r="E10" s="200">
        <f>SUM(E6:E9)</f>
        <v>28900</v>
      </c>
      <c r="F10" s="200">
        <f t="shared" ref="F10:N10" si="0">SUM(F6:F9)</f>
        <v>6000</v>
      </c>
      <c r="G10" s="200">
        <f t="shared" si="0"/>
        <v>19800</v>
      </c>
      <c r="H10" s="200">
        <f t="shared" si="0"/>
        <v>31100</v>
      </c>
      <c r="I10" s="200">
        <f t="shared" si="0"/>
        <v>14000</v>
      </c>
      <c r="J10" s="200">
        <f t="shared" si="0"/>
        <v>19100</v>
      </c>
      <c r="K10" s="200">
        <f t="shared" si="0"/>
        <v>15400</v>
      </c>
      <c r="L10" s="200">
        <f t="shared" si="0"/>
        <v>14200</v>
      </c>
      <c r="M10" s="200">
        <f t="shared" si="0"/>
        <v>8000</v>
      </c>
      <c r="N10" s="200">
        <f t="shared" si="0"/>
        <v>14000</v>
      </c>
      <c r="O10" s="200">
        <f>SUM(Tabla1[[#This Row],[oct-21]:[sep-22]])</f>
        <v>191800</v>
      </c>
    </row>
    <row r="11" spans="2:15" ht="18.75" customHeight="1" x14ac:dyDescent="0.2">
      <c r="B11" s="193"/>
      <c r="C11" s="201"/>
      <c r="D11" s="201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12"/>
    </row>
    <row r="12" spans="2:15" ht="18.75" customHeight="1" x14ac:dyDescent="0.25">
      <c r="B12" s="202" t="s">
        <v>68</v>
      </c>
      <c r="C12" s="203"/>
      <c r="D12" s="203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03"/>
    </row>
    <row r="13" spans="2:15" ht="18.75" customHeight="1" x14ac:dyDescent="0.25">
      <c r="B13" s="204" t="s">
        <v>50</v>
      </c>
      <c r="C13" s="203">
        <v>24000</v>
      </c>
      <c r="D13" s="203">
        <v>24000</v>
      </c>
      <c r="E13" s="203">
        <v>24000</v>
      </c>
      <c r="F13" s="203">
        <v>24000</v>
      </c>
      <c r="G13" s="203">
        <v>24000</v>
      </c>
      <c r="H13" s="203">
        <v>24000</v>
      </c>
      <c r="I13" s="203">
        <v>24000</v>
      </c>
      <c r="J13" s="203">
        <v>24000</v>
      </c>
      <c r="K13" s="203">
        <v>24000</v>
      </c>
      <c r="L13" s="203">
        <v>24000</v>
      </c>
      <c r="M13" s="203">
        <v>24000</v>
      </c>
      <c r="N13" s="203">
        <v>24000</v>
      </c>
      <c r="O13" s="203">
        <f>SUM(Tabla1[[#This Row],[oct-21]:[sep-22]])</f>
        <v>288000</v>
      </c>
    </row>
    <row r="14" spans="2:15" ht="18.75" customHeight="1" x14ac:dyDescent="0.25">
      <c r="B14" s="204" t="s">
        <v>51</v>
      </c>
      <c r="C14" s="203">
        <v>18000</v>
      </c>
      <c r="D14" s="203">
        <v>18000</v>
      </c>
      <c r="E14" s="203">
        <v>18000</v>
      </c>
      <c r="F14" s="203">
        <v>18000</v>
      </c>
      <c r="G14" s="203">
        <v>18000</v>
      </c>
      <c r="H14" s="203">
        <v>18000</v>
      </c>
      <c r="I14" s="203">
        <v>18000</v>
      </c>
      <c r="J14" s="203">
        <v>18000</v>
      </c>
      <c r="K14" s="203">
        <v>18000</v>
      </c>
      <c r="L14" s="203">
        <v>18000</v>
      </c>
      <c r="M14" s="203">
        <v>18000</v>
      </c>
      <c r="N14" s="203">
        <v>18000</v>
      </c>
      <c r="O14" s="203">
        <f>SUM(Tabla1[[#This Row],[oct-21]:[sep-22]])</f>
        <v>216000</v>
      </c>
    </row>
    <row r="15" spans="2:15" ht="18.75" customHeight="1" x14ac:dyDescent="0.25">
      <c r="B15" s="202" t="s">
        <v>69</v>
      </c>
      <c r="C15" s="205">
        <f>SUM(C13:C14)</f>
        <v>42000</v>
      </c>
      <c r="D15" s="205">
        <f>SUM(D13:D14)</f>
        <v>42000</v>
      </c>
      <c r="E15" s="205">
        <f t="shared" ref="E15:N15" si="1">SUM(E13:E14)</f>
        <v>42000</v>
      </c>
      <c r="F15" s="205">
        <f t="shared" si="1"/>
        <v>42000</v>
      </c>
      <c r="G15" s="205">
        <f t="shared" si="1"/>
        <v>42000</v>
      </c>
      <c r="H15" s="205">
        <f t="shared" si="1"/>
        <v>42000</v>
      </c>
      <c r="I15" s="205">
        <f t="shared" si="1"/>
        <v>42000</v>
      </c>
      <c r="J15" s="205">
        <f t="shared" si="1"/>
        <v>42000</v>
      </c>
      <c r="K15" s="205">
        <f t="shared" si="1"/>
        <v>42000</v>
      </c>
      <c r="L15" s="205">
        <f t="shared" si="1"/>
        <v>42000</v>
      </c>
      <c r="M15" s="205">
        <f t="shared" si="1"/>
        <v>42000</v>
      </c>
      <c r="N15" s="205">
        <f t="shared" si="1"/>
        <v>42000</v>
      </c>
      <c r="O15" s="203">
        <f>SUM(Tabla1[[#This Row],[oct-21]:[sep-22]])</f>
        <v>504000</v>
      </c>
    </row>
    <row r="16" spans="2:15" ht="18.75" customHeight="1" x14ac:dyDescent="0.2">
      <c r="B16" s="193"/>
      <c r="C16" s="201"/>
      <c r="D16" s="201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12"/>
    </row>
    <row r="17" spans="2:15" ht="18.75" customHeight="1" x14ac:dyDescent="0.25">
      <c r="B17" s="206" t="s">
        <v>70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8"/>
    </row>
    <row r="18" spans="2:15" ht="18.75" customHeight="1" x14ac:dyDescent="0.25">
      <c r="B18" s="206" t="s">
        <v>52</v>
      </c>
      <c r="C18" s="208">
        <f>C15*5%</f>
        <v>2100</v>
      </c>
      <c r="D18" s="208">
        <f>D15*5%</f>
        <v>2100</v>
      </c>
      <c r="E18" s="208">
        <f t="shared" ref="E18:N18" si="2">E15*5%</f>
        <v>2100</v>
      </c>
      <c r="F18" s="208">
        <f t="shared" si="2"/>
        <v>2100</v>
      </c>
      <c r="G18" s="208">
        <f t="shared" si="2"/>
        <v>2100</v>
      </c>
      <c r="H18" s="208">
        <f t="shared" si="2"/>
        <v>2100</v>
      </c>
      <c r="I18" s="208">
        <f t="shared" si="2"/>
        <v>2100</v>
      </c>
      <c r="J18" s="208">
        <f t="shared" si="2"/>
        <v>2100</v>
      </c>
      <c r="K18" s="208">
        <f t="shared" si="2"/>
        <v>2100</v>
      </c>
      <c r="L18" s="208">
        <f t="shared" si="2"/>
        <v>2100</v>
      </c>
      <c r="M18" s="208">
        <f t="shared" si="2"/>
        <v>2100</v>
      </c>
      <c r="N18" s="208">
        <f t="shared" si="2"/>
        <v>2100</v>
      </c>
      <c r="O18" s="208">
        <f>SUM(Tabla1[[#This Row],[oct-21]:[sep-22]])</f>
        <v>25200</v>
      </c>
    </row>
    <row r="19" spans="2:15" ht="18.75" customHeight="1" x14ac:dyDescent="0.2">
      <c r="B19" s="193"/>
      <c r="C19" s="201"/>
      <c r="D19" s="201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2"/>
    </row>
    <row r="20" spans="2:15" ht="18.75" customHeight="1" x14ac:dyDescent="0.25">
      <c r="B20" s="218" t="s">
        <v>62</v>
      </c>
      <c r="C20" s="219">
        <f t="shared" ref="C20:N20" si="3">SUM(C10,C15,C18)</f>
        <v>56200</v>
      </c>
      <c r="D20" s="219">
        <f t="shared" si="3"/>
        <v>53300</v>
      </c>
      <c r="E20" s="219">
        <f t="shared" si="3"/>
        <v>73000</v>
      </c>
      <c r="F20" s="219">
        <f t="shared" si="3"/>
        <v>50100</v>
      </c>
      <c r="G20" s="219">
        <f t="shared" si="3"/>
        <v>63900</v>
      </c>
      <c r="H20" s="219">
        <f t="shared" si="3"/>
        <v>75200</v>
      </c>
      <c r="I20" s="219">
        <f t="shared" si="3"/>
        <v>58100</v>
      </c>
      <c r="J20" s="219">
        <f t="shared" si="3"/>
        <v>63200</v>
      </c>
      <c r="K20" s="219">
        <f t="shared" si="3"/>
        <v>59500</v>
      </c>
      <c r="L20" s="219">
        <f t="shared" si="3"/>
        <v>58300</v>
      </c>
      <c r="M20" s="219">
        <f t="shared" si="3"/>
        <v>52100</v>
      </c>
      <c r="N20" s="219">
        <f t="shared" si="3"/>
        <v>58100</v>
      </c>
      <c r="O20" s="214">
        <f>SUM(Tabla1[[#This Row],[oct-21]:[sep-22]])</f>
        <v>721000</v>
      </c>
    </row>
    <row r="21" spans="2:15" ht="15.75" x14ac:dyDescent="0.25">
      <c r="B21" s="220" t="s">
        <v>72</v>
      </c>
      <c r="C21" s="221">
        <f>C20*'Captura Info'!F9</f>
        <v>5096.2216624685134</v>
      </c>
      <c r="D21" s="221">
        <f>D20*'Captura Info'!G9</f>
        <v>8918.276527578184</v>
      </c>
      <c r="E21" s="221">
        <f>E20*'Captura Info'!H9</f>
        <v>8885.0751666725355</v>
      </c>
      <c r="F21" s="221">
        <f>F20*'Captura Info'!I9</f>
        <v>6862.2119309770496</v>
      </c>
      <c r="G21" s="221">
        <f>G20*'Captura Info'!J9</f>
        <v>9364.3349854103071</v>
      </c>
      <c r="H21" s="221">
        <f>H20*'Captura Info'!K9</f>
        <v>11872.738355630563</v>
      </c>
      <c r="I21" s="221">
        <f>I20*'Captura Info'!L9</f>
        <v>9892.5952116930766</v>
      </c>
      <c r="J21" s="221">
        <f>J20*'Captura Info'!M9</f>
        <v>11353.008386183794</v>
      </c>
      <c r="K21" s="221">
        <f>K20*'Captura Info'!N9</f>
        <v>10304.135006722021</v>
      </c>
      <c r="L21" s="221">
        <f>L20*'Captura Info'!O9</f>
        <v>9793.3551339390106</v>
      </c>
      <c r="M21" s="221">
        <f>M20*'Captura Info'!P9</f>
        <v>8534.7292087573951</v>
      </c>
      <c r="N21" s="221">
        <f>N20*'Captura Info'!Q9</f>
        <v>9166.8666526319284</v>
      </c>
      <c r="O21" s="221">
        <f>O20*'Captura Info'!R9</f>
        <v>113625.07943232365</v>
      </c>
    </row>
    <row r="22" spans="2:15" x14ac:dyDescent="0.25">
      <c r="M22" s="213"/>
    </row>
    <row r="23" spans="2:15" x14ac:dyDescent="0.25">
      <c r="C23" s="213"/>
    </row>
    <row r="24" spans="2:15" x14ac:dyDescent="0.25">
      <c r="C24" s="213"/>
    </row>
  </sheetData>
  <phoneticPr fontId="27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N28"/>
  <sheetViews>
    <sheetView zoomScale="80" zoomScaleNormal="80" workbookViewId="0">
      <selection activeCell="X20" sqref="X20"/>
    </sheetView>
  </sheetViews>
  <sheetFormatPr baseColWidth="10" defaultColWidth="8.7109375" defaultRowHeight="15" x14ac:dyDescent="0.25"/>
  <cols>
    <col min="1" max="1" width="10.42578125" style="57" customWidth="1"/>
    <col min="2" max="2" width="9.7109375" style="57" customWidth="1"/>
    <col min="3" max="3" width="8.7109375" style="57"/>
    <col min="4" max="4" width="13.28515625" style="57" customWidth="1"/>
    <col min="5" max="5" width="11.5703125" style="57" customWidth="1"/>
    <col min="6" max="13" width="8.7109375" style="57"/>
    <col min="14" max="14" width="11.42578125" style="57" customWidth="1"/>
    <col min="15" max="16384" width="8.7109375" style="57"/>
  </cols>
  <sheetData>
    <row r="4" spans="2:14" x14ac:dyDescent="0.25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16" spans="2:14" s="40" customFormat="1" x14ac:dyDescent="0.25">
      <c r="J16" s="75"/>
    </row>
    <row r="18" spans="10:10" x14ac:dyDescent="0.25">
      <c r="J18" s="75"/>
    </row>
    <row r="20" spans="10:10" x14ac:dyDescent="0.25">
      <c r="J20" s="75"/>
    </row>
    <row r="22" spans="10:10" x14ac:dyDescent="0.25">
      <c r="J22" s="75"/>
    </row>
    <row r="24" spans="10:10" x14ac:dyDescent="0.25">
      <c r="J24" s="75"/>
    </row>
    <row r="26" spans="10:10" x14ac:dyDescent="0.25">
      <c r="J26" s="75"/>
    </row>
    <row r="28" spans="10:10" x14ac:dyDescent="0.25">
      <c r="J28" s="75"/>
    </row>
  </sheetData>
  <sheetProtection selectLockedCells="1" pivotTables="0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F9901-E8B2-4993-B20A-A7BB0A108812}">
  <dimension ref="A1:X43"/>
  <sheetViews>
    <sheetView zoomScale="80" zoomScaleNormal="80" workbookViewId="0">
      <selection activeCell="T13" sqref="T13"/>
    </sheetView>
  </sheetViews>
  <sheetFormatPr baseColWidth="10" defaultColWidth="8.7109375" defaultRowHeight="15" x14ac:dyDescent="0.25"/>
  <cols>
    <col min="1" max="1" width="10.42578125" style="57" customWidth="1"/>
    <col min="2" max="2" width="9.7109375" style="57" customWidth="1"/>
    <col min="3" max="3" width="8.7109375" style="57"/>
    <col min="4" max="4" width="11.28515625" style="57" customWidth="1"/>
    <col min="5" max="5" width="11.5703125" style="57" customWidth="1"/>
    <col min="6" max="13" width="8.7109375" style="57"/>
    <col min="14" max="14" width="11.42578125" style="57" customWidth="1"/>
    <col min="15" max="23" width="8.7109375" style="57"/>
    <col min="24" max="24" width="11.28515625" style="57" customWidth="1"/>
    <col min="25" max="25" width="12.140625" style="57" customWidth="1"/>
    <col min="26" max="26" width="6.7109375" style="57" bestFit="1" customWidth="1"/>
    <col min="27" max="27" width="10.7109375" style="57" bestFit="1" customWidth="1"/>
    <col min="28" max="31" width="8.7109375" style="57"/>
    <col min="32" max="32" width="10.7109375" style="57" bestFit="1" customWidth="1"/>
    <col min="33" max="16384" width="8.7109375" style="57"/>
  </cols>
  <sheetData>
    <row r="1" spans="1:14" x14ac:dyDescent="0.25">
      <c r="A1" s="76"/>
      <c r="B1" s="77"/>
      <c r="C1" s="77"/>
      <c r="D1" s="77"/>
      <c r="E1" s="77"/>
      <c r="F1" s="77"/>
      <c r="G1" s="77"/>
      <c r="H1" s="77"/>
      <c r="I1" s="78"/>
    </row>
    <row r="2" spans="1:14" x14ac:dyDescent="0.25">
      <c r="A2" s="79"/>
      <c r="B2" s="80"/>
      <c r="C2" s="80"/>
      <c r="D2" s="80"/>
      <c r="E2" s="80"/>
      <c r="F2" s="80"/>
      <c r="G2" s="80"/>
      <c r="H2" s="80"/>
      <c r="I2" s="81"/>
    </row>
    <row r="3" spans="1:14" x14ac:dyDescent="0.25">
      <c r="A3" s="79"/>
      <c r="B3" s="80"/>
      <c r="C3" s="80"/>
      <c r="D3" s="80"/>
      <c r="E3" s="80"/>
      <c r="F3" s="80"/>
      <c r="G3" s="80"/>
      <c r="H3" s="80"/>
      <c r="I3" s="81"/>
    </row>
    <row r="4" spans="1:14" x14ac:dyDescent="0.25">
      <c r="A4" s="79"/>
      <c r="B4" s="58"/>
      <c r="C4" s="59"/>
      <c r="D4" s="59"/>
      <c r="E4" s="59"/>
      <c r="F4" s="59"/>
      <c r="G4" s="59"/>
      <c r="H4" s="59"/>
      <c r="I4" s="82"/>
      <c r="J4" s="59"/>
      <c r="K4" s="59"/>
      <c r="L4" s="59"/>
      <c r="M4" s="59"/>
      <c r="N4" s="59"/>
    </row>
    <row r="5" spans="1:14" x14ac:dyDescent="0.25">
      <c r="A5" s="79"/>
      <c r="B5" s="80"/>
      <c r="C5" s="80"/>
      <c r="D5" s="80"/>
      <c r="E5" s="80"/>
      <c r="F5" s="80"/>
      <c r="G5" s="80"/>
      <c r="H5" s="80"/>
      <c r="I5" s="81"/>
    </row>
    <row r="6" spans="1:14" x14ac:dyDescent="0.25">
      <c r="A6" s="79"/>
      <c r="B6" s="80"/>
      <c r="C6" s="80"/>
      <c r="D6" s="80"/>
      <c r="E6" s="80"/>
      <c r="F6" s="80"/>
      <c r="G6" s="80"/>
      <c r="H6" s="80"/>
      <c r="I6" s="81"/>
    </row>
    <row r="7" spans="1:14" x14ac:dyDescent="0.25">
      <c r="A7" s="79"/>
      <c r="B7" s="80"/>
      <c r="C7" s="80"/>
      <c r="D7" s="80"/>
      <c r="E7" s="80"/>
      <c r="F7" s="80"/>
      <c r="G7" s="80"/>
      <c r="H7" s="80"/>
      <c r="I7" s="81"/>
    </row>
    <row r="8" spans="1:14" x14ac:dyDescent="0.25">
      <c r="A8" s="79"/>
      <c r="B8" s="80"/>
      <c r="C8" s="80"/>
      <c r="D8" s="80"/>
      <c r="E8" s="80"/>
      <c r="F8" s="80"/>
      <c r="G8" s="80"/>
      <c r="H8" s="80"/>
      <c r="I8" s="81"/>
    </row>
    <row r="9" spans="1:14" x14ac:dyDescent="0.25">
      <c r="A9" s="79"/>
      <c r="B9" s="80"/>
      <c r="C9" s="80"/>
      <c r="D9" s="80"/>
      <c r="E9" s="80"/>
      <c r="F9" s="80"/>
      <c r="G9" s="80"/>
      <c r="H9" s="80"/>
      <c r="I9" s="81"/>
    </row>
    <row r="10" spans="1:14" x14ac:dyDescent="0.25">
      <c r="A10" s="79"/>
      <c r="B10" s="80"/>
      <c r="C10" s="80"/>
      <c r="D10" s="80"/>
      <c r="E10" s="80"/>
      <c r="F10" s="80"/>
      <c r="G10" s="80"/>
      <c r="H10" s="80"/>
      <c r="I10" s="81"/>
    </row>
    <row r="11" spans="1:14" x14ac:dyDescent="0.25">
      <c r="A11" s="79"/>
      <c r="B11" s="80"/>
      <c r="C11" s="80"/>
      <c r="D11" s="80"/>
      <c r="E11" s="80"/>
      <c r="F11" s="80"/>
      <c r="G11" s="80"/>
      <c r="H11" s="80"/>
      <c r="I11" s="81"/>
    </row>
    <row r="12" spans="1:14" x14ac:dyDescent="0.25">
      <c r="A12" s="79"/>
      <c r="B12" s="80"/>
      <c r="C12" s="80"/>
      <c r="D12" s="80"/>
      <c r="E12" s="80"/>
      <c r="F12" s="80"/>
      <c r="G12" s="80"/>
      <c r="H12" s="80"/>
      <c r="I12" s="81"/>
    </row>
    <row r="13" spans="1:14" x14ac:dyDescent="0.25">
      <c r="A13" s="79"/>
      <c r="B13" s="80"/>
      <c r="C13" s="80"/>
      <c r="D13" s="80"/>
      <c r="E13" s="80"/>
      <c r="F13" s="80"/>
      <c r="G13" s="80"/>
      <c r="H13" s="80"/>
      <c r="I13" s="81"/>
    </row>
    <row r="14" spans="1:14" ht="15.75" thickBot="1" x14ac:dyDescent="0.3">
      <c r="A14" s="83"/>
      <c r="B14" s="84"/>
      <c r="C14" s="84"/>
      <c r="D14" s="84"/>
      <c r="E14" s="84"/>
      <c r="F14" s="84"/>
      <c r="G14" s="84"/>
      <c r="H14" s="84"/>
      <c r="I14" s="85"/>
    </row>
    <row r="16" spans="1:14" s="40" customFormat="1" x14ac:dyDescent="0.25"/>
    <row r="31" spans="10:10" x14ac:dyDescent="0.25">
      <c r="J31" s="75"/>
    </row>
    <row r="33" spans="10:24" ht="18.75" x14ac:dyDescent="0.25">
      <c r="J33" s="75"/>
      <c r="X33" s="60"/>
    </row>
    <row r="35" spans="10:24" x14ac:dyDescent="0.25">
      <c r="J35" s="75"/>
    </row>
    <row r="37" spans="10:24" x14ac:dyDescent="0.25">
      <c r="J37" s="75"/>
    </row>
    <row r="39" spans="10:24" x14ac:dyDescent="0.25">
      <c r="J39" s="75"/>
    </row>
    <row r="41" spans="10:24" x14ac:dyDescent="0.25">
      <c r="J41" s="75"/>
    </row>
    <row r="43" spans="10:24" x14ac:dyDescent="0.25">
      <c r="J43" s="75"/>
    </row>
  </sheetData>
  <sheetProtection sheet="1" pivotTables="0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Instructivo</vt:lpstr>
      <vt:lpstr>Metas</vt:lpstr>
      <vt:lpstr>Captura Info</vt:lpstr>
      <vt:lpstr>Costos de rotación</vt:lpstr>
      <vt:lpstr>Graficas Proyectadas</vt:lpstr>
      <vt:lpstr>Graficas Mensuales</vt:lpstr>
      <vt:lpstr>Instructivo!Área_de_impresión</vt:lpstr>
      <vt:lpstr>Metas!Área_de_impresión</vt:lpstr>
    </vt:vector>
  </TitlesOfParts>
  <Company>Johnson Controls,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Cristina Rodriguez Martinez</dc:creator>
  <cp:lastModifiedBy>Eder</cp:lastModifiedBy>
  <cp:lastPrinted>2020-10-19T18:14:39Z</cp:lastPrinted>
  <dcterms:created xsi:type="dcterms:W3CDTF">2017-05-22T22:19:35Z</dcterms:created>
  <dcterms:modified xsi:type="dcterms:W3CDTF">2022-04-04T05:52:34Z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 Classification">
    <vt:lpwstr>Internal </vt:lpwstr>
  </property>
  <property fmtid="{D5CDD505-2E9C-101B-9397-08002B2CF9AE}" pid="3" name="MSIP_Label_d8ccdd79-b790-40fe-8cde-4bf6ce2eec57_Enabled">
    <vt:lpwstr>True</vt:lpwstr>
  </property>
  <property fmtid="{D5CDD505-2E9C-101B-9397-08002B2CF9AE}" pid="4" name="MSIP_Label_d8ccdd79-b790-40fe-8cde-4bf6ce2eec57_SiteId">
    <vt:lpwstr>74b72ba8-5684-402c-98da-e38799398d7d</vt:lpwstr>
  </property>
  <property fmtid="{D5CDD505-2E9C-101B-9397-08002B2CF9AE}" pid="5" name="MSIP_Label_d8ccdd79-b790-40fe-8cde-4bf6ce2eec57_Owner">
    <vt:lpwstr>bespina3@oneclarios.com</vt:lpwstr>
  </property>
  <property fmtid="{D5CDD505-2E9C-101B-9397-08002B2CF9AE}" pid="6" name="MSIP_Label_d8ccdd79-b790-40fe-8cde-4bf6ce2eec57_SetDate">
    <vt:lpwstr>2021-05-03T20:51:59.6807733Z</vt:lpwstr>
  </property>
  <property fmtid="{D5CDD505-2E9C-101B-9397-08002B2CF9AE}" pid="7" name="MSIP_Label_d8ccdd79-b790-40fe-8cde-4bf6ce2eec57_Name">
    <vt:lpwstr>Internal</vt:lpwstr>
  </property>
  <property fmtid="{D5CDD505-2E9C-101B-9397-08002B2CF9AE}" pid="8" name="MSIP_Label_d8ccdd79-b790-40fe-8cde-4bf6ce2eec57_Application">
    <vt:lpwstr>Microsoft Azure Information Protection</vt:lpwstr>
  </property>
  <property fmtid="{D5CDD505-2E9C-101B-9397-08002B2CF9AE}" pid="9" name="MSIP_Label_d8ccdd79-b790-40fe-8cde-4bf6ce2eec57_ActionId">
    <vt:lpwstr>3d4b03be-82d3-4d20-aa1a-50a5af0350b1</vt:lpwstr>
  </property>
  <property fmtid="{D5CDD505-2E9C-101B-9397-08002B2CF9AE}" pid="10" name="MSIP_Label_d8ccdd79-b790-40fe-8cde-4bf6ce2eec57_Extended_MSFT_Method">
    <vt:lpwstr>Automatic</vt:lpwstr>
  </property>
  <property fmtid="{D5CDD505-2E9C-101B-9397-08002B2CF9AE}" pid="11" name="MSIP_Label_6be01c0c-f9b3-4dc4-af0b-a82110cc37cd_Enabled">
    <vt:lpwstr>True</vt:lpwstr>
  </property>
  <property fmtid="{D5CDD505-2E9C-101B-9397-08002B2CF9AE}" pid="12" name="MSIP_Label_6be01c0c-f9b3-4dc4-af0b-a82110cc37cd_SiteId">
    <vt:lpwstr>a1f1e214-7ded-45b6-81a1-9e8ae3459641</vt:lpwstr>
  </property>
  <property fmtid="{D5CDD505-2E9C-101B-9397-08002B2CF9AE}" pid="13" name="MSIP_Label_6be01c0c-f9b3-4dc4-af0b-a82110cc37cd_Owner">
    <vt:lpwstr>bespina3@onjci.com</vt:lpwstr>
  </property>
  <property fmtid="{D5CDD505-2E9C-101B-9397-08002B2CF9AE}" pid="14" name="MSIP_Label_6be01c0c-f9b3-4dc4-af0b-a82110cc37cd_SetDate">
    <vt:lpwstr>2019-11-21T14:48:00.1662809Z</vt:lpwstr>
  </property>
  <property fmtid="{D5CDD505-2E9C-101B-9397-08002B2CF9AE}" pid="15" name="MSIP_Label_6be01c0c-f9b3-4dc4-af0b-a82110cc37cd_Name">
    <vt:lpwstr>Internal </vt:lpwstr>
  </property>
  <property fmtid="{D5CDD505-2E9C-101B-9397-08002B2CF9AE}" pid="16" name="MSIP_Label_6be01c0c-f9b3-4dc4-af0b-a82110cc37cd_Application">
    <vt:lpwstr>Microsoft Azure Information Protection</vt:lpwstr>
  </property>
  <property fmtid="{D5CDD505-2E9C-101B-9397-08002B2CF9AE}" pid="17" name="MSIP_Label_6be01c0c-f9b3-4dc4-af0b-a82110cc37cd_ActionId">
    <vt:lpwstr>ef56c8e9-2f03-4c1a-a834-f19bec877322</vt:lpwstr>
  </property>
  <property fmtid="{D5CDD505-2E9C-101B-9397-08002B2CF9AE}" pid="18" name="MSIP_Label_6be01c0c-f9b3-4dc4-af0b-a82110cc37cd_Extended_MSFT_Method">
    <vt:lpwstr>Automatic</vt:lpwstr>
  </property>
  <property fmtid="{D5CDD505-2E9C-101B-9397-08002B2CF9AE}" pid="19" name="Sensitivity">
    <vt:lpwstr>Internal Internal </vt:lpwstr>
  </property>
</Properties>
</file>